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\SvilPromStat\STATISTICHE\2018\"/>
    </mc:Choice>
  </mc:AlternateContent>
  <bookViews>
    <workbookView xWindow="480" yWindow="675" windowWidth="18675" windowHeight="112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Foglio1!$A$1:$K$58</definedName>
  </definedNames>
  <calcPr calcId="162913"/>
</workbook>
</file>

<file path=xl/calcChain.xml><?xml version="1.0" encoding="utf-8"?>
<calcChain xmlns="http://schemas.openxmlformats.org/spreadsheetml/2006/main">
  <c r="I23" i="1" l="1"/>
  <c r="H23" i="1"/>
  <c r="E23" i="1"/>
  <c r="I9" i="1" l="1"/>
  <c r="H9" i="1"/>
  <c r="I17" i="1"/>
  <c r="J17" i="1" s="1"/>
  <c r="I16" i="1"/>
  <c r="H17" i="1"/>
  <c r="H16" i="1"/>
  <c r="J16" i="1" s="1"/>
  <c r="I15" i="1"/>
  <c r="H15" i="1"/>
  <c r="J52" i="1"/>
  <c r="I52" i="1"/>
  <c r="H52" i="1"/>
  <c r="I45" i="1"/>
  <c r="I46" i="1" s="1"/>
  <c r="H45" i="1"/>
  <c r="H46" i="1" s="1"/>
  <c r="K54" i="1"/>
  <c r="I38" i="1"/>
  <c r="H38" i="1"/>
  <c r="I26" i="1"/>
  <c r="H26" i="1"/>
  <c r="H27" i="1" s="1"/>
  <c r="J58" i="1"/>
  <c r="J57" i="1"/>
  <c r="J56" i="1"/>
  <c r="J53" i="1"/>
  <c r="J51" i="1"/>
  <c r="J50" i="1"/>
  <c r="J49" i="1"/>
  <c r="J48" i="1"/>
  <c r="J44" i="1"/>
  <c r="J43" i="1"/>
  <c r="J42" i="1"/>
  <c r="J41" i="1"/>
  <c r="J40" i="1"/>
  <c r="J37" i="1"/>
  <c r="J36" i="1"/>
  <c r="J35" i="1"/>
  <c r="J34" i="1"/>
  <c r="J33" i="1"/>
  <c r="J31" i="1"/>
  <c r="J29" i="1"/>
  <c r="J23" i="1"/>
  <c r="J21" i="1"/>
  <c r="J19" i="1"/>
  <c r="J15" i="1"/>
  <c r="J14" i="1"/>
  <c r="J13" i="1"/>
  <c r="J12" i="1"/>
  <c r="J11" i="1"/>
  <c r="J8" i="1"/>
  <c r="J7" i="1"/>
  <c r="I25" i="1"/>
  <c r="J25" i="1" s="1"/>
  <c r="H25" i="1"/>
  <c r="J9" i="1" l="1"/>
  <c r="J45" i="1"/>
  <c r="J26" i="1"/>
  <c r="I27" i="1"/>
  <c r="J27" i="1" s="1"/>
  <c r="J38" i="1"/>
  <c r="F26" i="1"/>
  <c r="E26" i="1"/>
  <c r="F25" i="1"/>
  <c r="E25" i="1"/>
  <c r="J46" i="1" l="1"/>
  <c r="J55" i="1"/>
  <c r="G58" i="1"/>
  <c r="K58" i="1" s="1"/>
  <c r="G57" i="1"/>
  <c r="K57" i="1" s="1"/>
  <c r="G56" i="1"/>
  <c r="K56" i="1" s="1"/>
  <c r="F52" i="1" l="1"/>
  <c r="E52" i="1"/>
  <c r="F45" i="1"/>
  <c r="E45" i="1"/>
  <c r="F38" i="1"/>
  <c r="E38" i="1"/>
  <c r="F27" i="1"/>
  <c r="E27" i="1"/>
  <c r="F9" i="1"/>
  <c r="E9" i="1"/>
  <c r="F15" i="1"/>
  <c r="E15" i="1"/>
  <c r="G15" i="1" s="1"/>
  <c r="K15" i="1" s="1"/>
  <c r="G53" i="1"/>
  <c r="K53" i="1" s="1"/>
  <c r="G51" i="1"/>
  <c r="K51" i="1" s="1"/>
  <c r="G50" i="1"/>
  <c r="K50" i="1" s="1"/>
  <c r="G49" i="1"/>
  <c r="K49" i="1" s="1"/>
  <c r="G48" i="1"/>
  <c r="K48" i="1" s="1"/>
  <c r="G44" i="1"/>
  <c r="K44" i="1" s="1"/>
  <c r="G43" i="1"/>
  <c r="K43" i="1" s="1"/>
  <c r="G42" i="1"/>
  <c r="K42" i="1" s="1"/>
  <c r="G41" i="1"/>
  <c r="K41" i="1" s="1"/>
  <c r="G40" i="1"/>
  <c r="K40" i="1" s="1"/>
  <c r="G37" i="1"/>
  <c r="K37" i="1" s="1"/>
  <c r="G36" i="1"/>
  <c r="K36" i="1" s="1"/>
  <c r="G35" i="1"/>
  <c r="K35" i="1" s="1"/>
  <c r="G34" i="1"/>
  <c r="K34" i="1" s="1"/>
  <c r="G33" i="1"/>
  <c r="K33" i="1" s="1"/>
  <c r="G31" i="1"/>
  <c r="K31" i="1" s="1"/>
  <c r="G29" i="1"/>
  <c r="K29" i="1" s="1"/>
  <c r="G26" i="1"/>
  <c r="K26" i="1" s="1"/>
  <c r="G25" i="1"/>
  <c r="K25" i="1" s="1"/>
  <c r="G21" i="1"/>
  <c r="K21" i="1" s="1"/>
  <c r="G19" i="1"/>
  <c r="K19" i="1" s="1"/>
  <c r="G14" i="1"/>
  <c r="K14" i="1" s="1"/>
  <c r="G13" i="1"/>
  <c r="K13" i="1" s="1"/>
  <c r="G12" i="1"/>
  <c r="K12" i="1" s="1"/>
  <c r="G11" i="1"/>
  <c r="K11" i="1" s="1"/>
  <c r="G8" i="1"/>
  <c r="K8" i="1" s="1"/>
  <c r="G7" i="1"/>
  <c r="K7" i="1" s="1"/>
  <c r="E46" i="1" l="1"/>
  <c r="G27" i="1"/>
  <c r="K27" i="1" s="1"/>
  <c r="E16" i="1"/>
  <c r="E17" i="1" s="1"/>
  <c r="F46" i="1"/>
  <c r="F16" i="1"/>
  <c r="F17" i="1" s="1"/>
  <c r="G52" i="1"/>
  <c r="G45" i="1"/>
  <c r="K45" i="1" s="1"/>
  <c r="G38" i="1"/>
  <c r="K38" i="1" s="1"/>
  <c r="G9" i="1"/>
  <c r="K9" i="1" s="1"/>
  <c r="G55" i="1" l="1"/>
  <c r="K55" i="1" s="1"/>
  <c r="K52" i="1"/>
  <c r="G46" i="1"/>
  <c r="K46" i="1" s="1"/>
  <c r="G17" i="1"/>
  <c r="K17" i="1" s="1"/>
  <c r="G16" i="1"/>
  <c r="K16" i="1" s="1"/>
  <c r="F23" i="1"/>
  <c r="G23" i="1" s="1"/>
  <c r="K23" i="1" s="1"/>
  <c r="D11" i="1"/>
  <c r="D58" i="1" l="1"/>
  <c r="D57" i="1"/>
  <c r="D56" i="1"/>
  <c r="D53" i="1"/>
  <c r="C52" i="1"/>
  <c r="B52" i="1"/>
  <c r="D49" i="1"/>
  <c r="D50" i="1"/>
  <c r="D51" i="1"/>
  <c r="D48" i="1"/>
  <c r="C44" i="1"/>
  <c r="C45" i="1" s="1"/>
  <c r="B45" i="1"/>
  <c r="C38" i="1"/>
  <c r="B38" i="1"/>
  <c r="B46" i="1" s="1"/>
  <c r="D34" i="1"/>
  <c r="D35" i="1"/>
  <c r="D36" i="1"/>
  <c r="D37" i="1"/>
  <c r="D40" i="1"/>
  <c r="D41" i="1"/>
  <c r="D42" i="1"/>
  <c r="D43" i="1"/>
  <c r="D33" i="1"/>
  <c r="D31" i="1"/>
  <c r="D29" i="1"/>
  <c r="C26" i="1"/>
  <c r="B26" i="1"/>
  <c r="C25" i="1"/>
  <c r="B25" i="1"/>
  <c r="C15" i="1"/>
  <c r="C16" i="1" s="1"/>
  <c r="C17" i="1" s="1"/>
  <c r="B15" i="1"/>
  <c r="B16" i="1" s="1"/>
  <c r="D12" i="1"/>
  <c r="D13" i="1"/>
  <c r="D14" i="1"/>
  <c r="D15" i="1"/>
  <c r="D21" i="1"/>
  <c r="D19" i="1"/>
  <c r="B9" i="1"/>
  <c r="C8" i="1"/>
  <c r="C9" i="1" s="1"/>
  <c r="D7" i="1"/>
  <c r="D44" i="1" l="1"/>
  <c r="D25" i="1"/>
  <c r="C46" i="1"/>
  <c r="D8" i="1"/>
  <c r="B17" i="1"/>
  <c r="D17" i="1" s="1"/>
  <c r="D52" i="1"/>
  <c r="D45" i="1"/>
  <c r="D38" i="1"/>
  <c r="C23" i="1"/>
  <c r="B27" i="1"/>
  <c r="D16" i="1"/>
  <c r="C27" i="1"/>
  <c r="D26" i="1"/>
  <c r="D27" i="1"/>
  <c r="D55" i="1" l="1"/>
  <c r="D9" i="1"/>
  <c r="D46" i="1"/>
  <c r="B23" i="1"/>
  <c r="D23" i="1" s="1"/>
</calcChain>
</file>

<file path=xl/comments1.xml><?xml version="1.0" encoding="utf-8"?>
<comments xmlns="http://schemas.openxmlformats.org/spreadsheetml/2006/main">
  <authors>
    <author>cellerino</author>
  </authors>
  <commentList>
    <comment ref="A16" authorId="0" shapeId="0">
      <text>
        <r>
          <rPr>
            <sz val="8"/>
            <color indexed="81"/>
            <rFont val="Tahoma"/>
            <family val="2"/>
          </rPr>
          <t>contiene: "concimi";</t>
        </r>
        <r>
          <rPr>
            <sz val="8"/>
            <color indexed="81"/>
            <rFont val="Tahoma"/>
            <family val="2"/>
          </rPr>
          <t xml:space="preserve">
"materiale da trasporto"; "vetro..";"cuoio.."
</t>
        </r>
      </text>
    </comment>
  </commentList>
</comments>
</file>

<file path=xl/sharedStrings.xml><?xml version="1.0" encoding="utf-8"?>
<sst xmlns="http://schemas.openxmlformats.org/spreadsheetml/2006/main" count="58" uniqueCount="54">
  <si>
    <t>Imbarchi</t>
  </si>
  <si>
    <t>Sbarchi</t>
  </si>
  <si>
    <t>%</t>
  </si>
  <si>
    <t xml:space="preserve"> Merci ( in tn )</t>
  </si>
  <si>
    <t>LIQUIDE</t>
  </si>
  <si>
    <t>Petrolio greggio</t>
  </si>
  <si>
    <t>Derivati del petrolio</t>
  </si>
  <si>
    <t>TOTALE MERCI LIQUIDE (petrolio e derivati)</t>
  </si>
  <si>
    <t>SOLIDE</t>
  </si>
  <si>
    <t>Carbone</t>
  </si>
  <si>
    <t>Cereali</t>
  </si>
  <si>
    <t>Derrate alimentari</t>
  </si>
  <si>
    <t>Minerali grezzi e manufatti (inerti)</t>
  </si>
  <si>
    <t>Prodotti metallurgici, minerali di ferro, minerali e metalli non ferrosi</t>
  </si>
  <si>
    <t>Articoli diversi</t>
  </si>
  <si>
    <t>TOTALE MERCI SOLIDE</t>
  </si>
  <si>
    <t>MERCI  NEI TIR E TRAILER</t>
  </si>
  <si>
    <t>MERCI NEI CONTENITORI</t>
  </si>
  <si>
    <t>TOTALE MERCI</t>
  </si>
  <si>
    <t>NUMERO CONTENITORI</t>
  </si>
  <si>
    <t>Vuoti</t>
  </si>
  <si>
    <t>Pieni</t>
  </si>
  <si>
    <t>TOT. CONTENITORI NUMERO</t>
  </si>
  <si>
    <t>CONTENITORI: TEU</t>
  </si>
  <si>
    <t>VEICOLI (AUTO)</t>
  </si>
  <si>
    <t>TIR GRECIA</t>
  </si>
  <si>
    <t>TIR CROAZIA</t>
  </si>
  <si>
    <t>TIR ALBANIA</t>
  </si>
  <si>
    <t>TIR ITALIA</t>
  </si>
  <si>
    <t>TOTALE TIR</t>
  </si>
  <si>
    <t>TRAILER GRECIA</t>
  </si>
  <si>
    <t>TRAILER ALBANIA</t>
  </si>
  <si>
    <t>TRAILER ITALIA</t>
  </si>
  <si>
    <t>TOTALE TRAILER</t>
  </si>
  <si>
    <t>TOTALE TIR + TRAILER</t>
  </si>
  <si>
    <t>Passeggeri GRECIA</t>
  </si>
  <si>
    <t>Passeggeri CROAZIA</t>
  </si>
  <si>
    <t>Passeggeri ALBANIA</t>
  </si>
  <si>
    <t>Passeggeri ITALIA</t>
  </si>
  <si>
    <t>TOT PASSEGGERI</t>
  </si>
  <si>
    <t>CROCIERISTI</t>
  </si>
  <si>
    <r>
      <t xml:space="preserve">CROCIERISTI </t>
    </r>
    <r>
      <rPr>
        <b/>
        <i/>
        <sz val="10"/>
        <rFont val="Verdana"/>
        <family val="2"/>
      </rPr>
      <t>(transito)</t>
    </r>
  </si>
  <si>
    <t>TOTALE PASSEGGERI</t>
  </si>
  <si>
    <t>N° NAVI</t>
  </si>
  <si>
    <t>TSN</t>
  </si>
  <si>
    <t>TSL</t>
  </si>
  <si>
    <t>TIR TURCHIA</t>
  </si>
  <si>
    <t>TRAILER CROAZIA</t>
  </si>
  <si>
    <t>TOT 2016</t>
  </si>
  <si>
    <t>TRAILER Altri Paesi</t>
  </si>
  <si>
    <t>TOT 2017</t>
  </si>
  <si>
    <t>TOT 2018</t>
  </si>
  <si>
    <t>18 vs 17</t>
  </si>
  <si>
    <t xml:space="preserve">     PORTO DI ANCONA:   CONFRONTO IMBARCHI E SBARCHI 2016 - 2017 - 2018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</si>
</sst>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39"/>
      <name val="Verdana"/>
      <family val="2"/>
    </font>
    <font>
      <b/>
      <sz val="10"/>
      <color indexed="12"/>
      <name val="Verdana"/>
      <family val="2"/>
    </font>
    <font>
      <b/>
      <i/>
      <sz val="10"/>
      <name val="Verdana"/>
      <family val="2"/>
    </font>
    <font>
      <sz val="8"/>
      <color indexed="81"/>
      <name val="Tahoma"/>
      <family val="2"/>
    </font>
    <font>
      <sz val="10"/>
      <color indexed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lightGray">
        <fgColor indexed="4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5" fillId="2" borderId="1" xfId="0" applyFont="1" applyFill="1" applyBorder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5" xfId="0" applyFont="1" applyFill="1" applyBorder="1"/>
    <xf numFmtId="0" fontId="7" fillId="2" borderId="3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3" fontId="7" fillId="2" borderId="14" xfId="0" applyNumberFormat="1" applyFont="1" applyFill="1" applyBorder="1" applyAlignment="1">
      <alignment horizontal="left"/>
    </xf>
    <xf numFmtId="3" fontId="7" fillId="0" borderId="17" xfId="0" applyNumberFormat="1" applyFont="1" applyFill="1" applyBorder="1"/>
    <xf numFmtId="3" fontId="7" fillId="0" borderId="16" xfId="0" applyNumberFormat="1" applyFont="1" applyFill="1" applyBorder="1"/>
    <xf numFmtId="3" fontId="7" fillId="0" borderId="18" xfId="0" applyNumberFormat="1" applyFont="1" applyFill="1" applyBorder="1"/>
    <xf numFmtId="3" fontId="7" fillId="0" borderId="15" xfId="0" applyNumberFormat="1" applyFont="1" applyFill="1" applyBorder="1"/>
    <xf numFmtId="3" fontId="8" fillId="3" borderId="14" xfId="0" applyNumberFormat="1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left"/>
    </xf>
    <xf numFmtId="3" fontId="8" fillId="3" borderId="15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horizontal="left"/>
    </xf>
    <xf numFmtId="3" fontId="7" fillId="2" borderId="16" xfId="0" applyNumberFormat="1" applyFont="1" applyFill="1" applyBorder="1"/>
    <xf numFmtId="3" fontId="7" fillId="2" borderId="18" xfId="0" applyNumberFormat="1" applyFont="1" applyFill="1" applyBorder="1"/>
    <xf numFmtId="3" fontId="7" fillId="2" borderId="15" xfId="0" applyNumberFormat="1" applyFont="1" applyFill="1" applyBorder="1"/>
    <xf numFmtId="0" fontId="7" fillId="0" borderId="14" xfId="0" applyFont="1" applyBorder="1" applyAlignment="1">
      <alignment horizontal="left"/>
    </xf>
    <xf numFmtId="3" fontId="7" fillId="2" borderId="25" xfId="0" applyNumberFormat="1" applyFont="1" applyFill="1" applyBorder="1" applyAlignment="1">
      <alignment horizontal="center"/>
    </xf>
    <xf numFmtId="3" fontId="7" fillId="2" borderId="12" xfId="0" applyNumberFormat="1" applyFont="1" applyFill="1" applyBorder="1"/>
    <xf numFmtId="3" fontId="7" fillId="2" borderId="13" xfId="0" applyNumberFormat="1" applyFont="1" applyFill="1" applyBorder="1"/>
    <xf numFmtId="3" fontId="7" fillId="2" borderId="11" xfId="0" applyNumberFormat="1" applyFont="1" applyFill="1" applyBorder="1"/>
    <xf numFmtId="3" fontId="8" fillId="0" borderId="14" xfId="0" applyNumberFormat="1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left"/>
    </xf>
    <xf numFmtId="3" fontId="6" fillId="4" borderId="14" xfId="0" applyNumberFormat="1" applyFont="1" applyFill="1" applyBorder="1" applyAlignment="1">
      <alignment horizontal="left" vertical="center"/>
    </xf>
    <xf numFmtId="3" fontId="10" fillId="2" borderId="27" xfId="0" applyNumberFormat="1" applyFont="1" applyFill="1" applyBorder="1" applyAlignment="1">
      <alignment horizontal="left"/>
    </xf>
    <xf numFmtId="3" fontId="11" fillId="0" borderId="13" xfId="0" applyNumberFormat="1" applyFont="1" applyBorder="1"/>
    <xf numFmtId="3" fontId="11" fillId="0" borderId="11" xfId="0" applyNumberFormat="1" applyFont="1" applyBorder="1"/>
    <xf numFmtId="3" fontId="11" fillId="0" borderId="12" xfId="0" applyNumberFormat="1" applyFont="1" applyBorder="1"/>
    <xf numFmtId="0" fontId="7" fillId="0" borderId="14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left" vertical="center"/>
    </xf>
    <xf numFmtId="3" fontId="8" fillId="0" borderId="18" xfId="0" applyNumberFormat="1" applyFont="1" applyFill="1" applyBorder="1"/>
    <xf numFmtId="0" fontId="7" fillId="0" borderId="27" xfId="0" applyFont="1" applyFill="1" applyBorder="1"/>
    <xf numFmtId="3" fontId="7" fillId="0" borderId="12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horizontal="left" vertical="center"/>
    </xf>
    <xf numFmtId="3" fontId="7" fillId="0" borderId="16" xfId="0" applyNumberFormat="1" applyFont="1" applyFill="1" applyBorder="1" applyAlignment="1">
      <alignment vertical="center"/>
    </xf>
    <xf numFmtId="3" fontId="5" fillId="5" borderId="29" xfId="0" applyNumberFormat="1" applyFont="1" applyFill="1" applyBorder="1"/>
    <xf numFmtId="3" fontId="5" fillId="5" borderId="30" xfId="0" applyNumberFormat="1" applyFont="1" applyFill="1" applyBorder="1"/>
    <xf numFmtId="3" fontId="6" fillId="5" borderId="31" xfId="0" applyNumberFormat="1" applyFont="1" applyFill="1" applyBorder="1"/>
    <xf numFmtId="3" fontId="6" fillId="0" borderId="24" xfId="0" applyNumberFormat="1" applyFont="1" applyFill="1" applyBorder="1"/>
    <xf numFmtId="3" fontId="6" fillId="0" borderId="0" xfId="0" applyNumberFormat="1" applyFont="1" applyFill="1" applyBorder="1"/>
    <xf numFmtId="3" fontId="6" fillId="0" borderId="23" xfId="0" applyNumberFormat="1" applyFont="1" applyFill="1" applyBorder="1"/>
    <xf numFmtId="0" fontId="7" fillId="2" borderId="14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 vertical="center"/>
    </xf>
    <xf numFmtId="3" fontId="7" fillId="6" borderId="16" xfId="0" applyNumberFormat="1" applyFont="1" applyFill="1" applyBorder="1" applyAlignment="1">
      <alignment vertical="center"/>
    </xf>
    <xf numFmtId="3" fontId="7" fillId="6" borderId="34" xfId="0" applyNumberFormat="1" applyFont="1" applyFill="1" applyBorder="1" applyAlignment="1">
      <alignment vertical="center"/>
    </xf>
    <xf numFmtId="3" fontId="8" fillId="6" borderId="33" xfId="0" applyNumberFormat="1" applyFont="1" applyFill="1" applyBorder="1" applyAlignment="1">
      <alignment vertical="center"/>
    </xf>
    <xf numFmtId="0" fontId="8" fillId="6" borderId="28" xfId="0" applyFont="1" applyFill="1" applyBorder="1" applyAlignment="1">
      <alignment horizontal="left" vertical="center"/>
    </xf>
    <xf numFmtId="3" fontId="7" fillId="6" borderId="35" xfId="0" applyNumberFormat="1" applyFont="1" applyFill="1" applyBorder="1" applyAlignment="1">
      <alignment vertical="center"/>
    </xf>
    <xf numFmtId="3" fontId="8" fillId="6" borderId="36" xfId="0" applyNumberFormat="1" applyFont="1" applyFill="1" applyBorder="1" applyAlignment="1">
      <alignment vertical="center"/>
    </xf>
    <xf numFmtId="3" fontId="8" fillId="6" borderId="34" xfId="0" applyNumberFormat="1" applyFont="1" applyFill="1" applyBorder="1" applyAlignment="1">
      <alignment vertical="center"/>
    </xf>
    <xf numFmtId="3" fontId="6" fillId="4" borderId="32" xfId="0" applyNumberFormat="1" applyFont="1" applyFill="1" applyBorder="1" applyAlignment="1">
      <alignment horizontal="left" vertical="center"/>
    </xf>
    <xf numFmtId="3" fontId="6" fillId="4" borderId="31" xfId="0" applyNumberFormat="1" applyFont="1" applyFill="1" applyBorder="1" applyAlignment="1">
      <alignment vertical="center"/>
    </xf>
    <xf numFmtId="3" fontId="6" fillId="4" borderId="30" xfId="0" applyNumberFormat="1" applyFont="1" applyFill="1" applyBorder="1" applyAlignment="1">
      <alignment vertical="center"/>
    </xf>
    <xf numFmtId="3" fontId="7" fillId="0" borderId="26" xfId="0" applyNumberFormat="1" applyFont="1" applyFill="1" applyBorder="1"/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20" xfId="0" applyNumberFormat="1" applyFont="1" applyFill="1" applyBorder="1"/>
    <xf numFmtId="3" fontId="7" fillId="0" borderId="8" xfId="0" applyNumberFormat="1" applyFont="1" applyFill="1" applyBorder="1"/>
    <xf numFmtId="3" fontId="7" fillId="0" borderId="21" xfId="0" applyNumberFormat="1" applyFont="1" applyFill="1" applyBorder="1"/>
    <xf numFmtId="164" fontId="0" fillId="0" borderId="0" xfId="0" applyNumberFormat="1"/>
    <xf numFmtId="0" fontId="7" fillId="0" borderId="10" xfId="0" applyFont="1" applyFill="1" applyBorder="1" applyAlignment="1">
      <alignment horizontal="left"/>
    </xf>
    <xf numFmtId="3" fontId="8" fillId="0" borderId="15" xfId="0" applyNumberFormat="1" applyFont="1" applyFill="1" applyBorder="1"/>
    <xf numFmtId="3" fontId="8" fillId="6" borderId="35" xfId="0" applyNumberFormat="1" applyFont="1" applyFill="1" applyBorder="1" applyAlignment="1">
      <alignment vertical="center"/>
    </xf>
    <xf numFmtId="3" fontId="6" fillId="4" borderId="29" xfId="0" applyNumberFormat="1" applyFont="1" applyFill="1" applyBorder="1" applyAlignment="1">
      <alignment vertical="center"/>
    </xf>
    <xf numFmtId="3" fontId="5" fillId="4" borderId="16" xfId="0" applyNumberFormat="1" applyFont="1" applyFill="1" applyBorder="1"/>
    <xf numFmtId="0" fontId="7" fillId="2" borderId="26" xfId="0" applyFont="1" applyFill="1" applyBorder="1"/>
    <xf numFmtId="3" fontId="7" fillId="2" borderId="17" xfId="0" applyNumberFormat="1" applyFont="1" applyFill="1" applyBorder="1"/>
    <xf numFmtId="3" fontId="7" fillId="2" borderId="26" xfId="0" applyNumberFormat="1" applyFont="1" applyFill="1" applyBorder="1"/>
    <xf numFmtId="3" fontId="11" fillId="0" borderId="26" xfId="0" applyNumberFormat="1" applyFont="1" applyBorder="1"/>
    <xf numFmtId="3" fontId="8" fillId="0" borderId="26" xfId="0" applyNumberFormat="1" applyFont="1" applyFill="1" applyBorder="1" applyAlignment="1">
      <alignment vertical="center"/>
    </xf>
    <xf numFmtId="3" fontId="7" fillId="0" borderId="26" xfId="0" applyNumberFormat="1" applyFont="1" applyFill="1" applyBorder="1" applyAlignment="1">
      <alignment vertical="center"/>
    </xf>
    <xf numFmtId="3" fontId="6" fillId="0" borderId="22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0" fontId="8" fillId="0" borderId="37" xfId="0" applyFont="1" applyBorder="1" applyAlignment="1">
      <alignment horizontal="center"/>
    </xf>
    <xf numFmtId="3" fontId="6" fillId="4" borderId="41" xfId="0" applyNumberFormat="1" applyFont="1" applyFill="1" applyBorder="1" applyAlignment="1">
      <alignment vertical="center"/>
    </xf>
    <xf numFmtId="3" fontId="11" fillId="0" borderId="23" xfId="0" applyNumberFormat="1" applyFont="1" applyFill="1" applyBorder="1" applyAlignment="1">
      <alignment horizontal="right"/>
    </xf>
    <xf numFmtId="3" fontId="6" fillId="4" borderId="11" xfId="0" applyNumberFormat="1" applyFont="1" applyFill="1" applyBorder="1"/>
    <xf numFmtId="3" fontId="11" fillId="0" borderId="22" xfId="0" applyNumberFormat="1" applyFont="1" applyFill="1" applyBorder="1" applyAlignment="1">
      <alignment horizontal="right"/>
    </xf>
    <xf numFmtId="3" fontId="11" fillId="0" borderId="24" xfId="0" applyNumberFormat="1" applyFont="1" applyFill="1" applyBorder="1" applyAlignment="1">
      <alignment horizontal="right"/>
    </xf>
    <xf numFmtId="3" fontId="11" fillId="2" borderId="25" xfId="0" applyNumberFormat="1" applyFont="1" applyFill="1" applyBorder="1" applyAlignment="1">
      <alignment horizontal="left"/>
    </xf>
    <xf numFmtId="3" fontId="8" fillId="3" borderId="32" xfId="0" applyNumberFormat="1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vertical="center"/>
    </xf>
    <xf numFmtId="3" fontId="7" fillId="3" borderId="30" xfId="0" applyNumberFormat="1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2" borderId="28" xfId="0" applyNumberFormat="1" applyFont="1" applyFill="1" applyBorder="1" applyAlignment="1">
      <alignment horizontal="left"/>
    </xf>
    <xf numFmtId="3" fontId="8" fillId="2" borderId="36" xfId="0" applyNumberFormat="1" applyFont="1" applyFill="1" applyBorder="1"/>
    <xf numFmtId="3" fontId="8" fillId="2" borderId="35" xfId="0" applyNumberFormat="1" applyFont="1" applyFill="1" applyBorder="1"/>
    <xf numFmtId="3" fontId="8" fillId="2" borderId="34" xfId="0" applyNumberFormat="1" applyFont="1" applyFill="1" applyBorder="1"/>
    <xf numFmtId="3" fontId="8" fillId="2" borderId="33" xfId="0" applyNumberFormat="1" applyFont="1" applyFill="1" applyBorder="1"/>
    <xf numFmtId="3" fontId="5" fillId="4" borderId="29" xfId="0" applyNumberFormat="1" applyFont="1" applyFill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3" fontId="6" fillId="4" borderId="41" xfId="0" applyNumberFormat="1" applyFont="1" applyFill="1" applyBorder="1" applyAlignment="1">
      <alignment horizontal="right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3" fontId="6" fillId="4" borderId="13" xfId="0" applyNumberFormat="1" applyFont="1" applyFill="1" applyBorder="1"/>
    <xf numFmtId="3" fontId="7" fillId="0" borderId="17" xfId="0" applyNumberFormat="1" applyFont="1" applyFill="1" applyBorder="1" applyAlignment="1">
      <alignment vertical="center"/>
    </xf>
    <xf numFmtId="3" fontId="7" fillId="0" borderId="35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6" borderId="33" xfId="0" applyNumberFormat="1" applyFont="1" applyFill="1" applyBorder="1" applyAlignment="1">
      <alignment vertical="center"/>
    </xf>
    <xf numFmtId="3" fontId="7" fillId="0" borderId="43" xfId="0" applyNumberFormat="1" applyFont="1" applyFill="1" applyBorder="1"/>
    <xf numFmtId="3" fontId="7" fillId="0" borderId="44" xfId="0" applyNumberFormat="1" applyFont="1" applyFill="1" applyBorder="1"/>
    <xf numFmtId="3" fontId="7" fillId="0" borderId="45" xfId="0" applyNumberFormat="1" applyFont="1" applyFill="1" applyBorder="1"/>
    <xf numFmtId="3" fontId="5" fillId="5" borderId="41" xfId="0" applyNumberFormat="1" applyFont="1" applyFill="1" applyBorder="1"/>
    <xf numFmtId="3" fontId="6" fillId="5" borderId="41" xfId="0" applyNumberFormat="1" applyFont="1" applyFill="1" applyBorder="1"/>
    <xf numFmtId="3" fontId="7" fillId="0" borderId="11" xfId="0" applyNumberFormat="1" applyFont="1" applyFill="1" applyBorder="1"/>
    <xf numFmtId="3" fontId="7" fillId="0" borderId="37" xfId="0" applyNumberFormat="1" applyFont="1" applyFill="1" applyBorder="1"/>
    <xf numFmtId="164" fontId="6" fillId="2" borderId="46" xfId="0" applyNumberFormat="1" applyFont="1" applyFill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/>
    </xf>
    <xf numFmtId="164" fontId="7" fillId="0" borderId="42" xfId="0" applyNumberFormat="1" applyFont="1" applyBorder="1"/>
    <xf numFmtId="3" fontId="8" fillId="6" borderId="16" xfId="0" applyNumberFormat="1" applyFont="1" applyFill="1" applyBorder="1" applyAlignment="1">
      <alignment vertical="center"/>
    </xf>
    <xf numFmtId="164" fontId="7" fillId="2" borderId="18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9" fontId="7" fillId="0" borderId="18" xfId="1" applyFont="1" applyBorder="1" applyAlignment="1">
      <alignment horizontal="right"/>
    </xf>
    <xf numFmtId="9" fontId="8" fillId="3" borderId="18" xfId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9" fontId="7" fillId="0" borderId="36" xfId="1" applyFont="1" applyBorder="1" applyAlignment="1">
      <alignment horizontal="right"/>
    </xf>
    <xf numFmtId="9" fontId="6" fillId="5" borderId="31" xfId="1" applyNumberFormat="1" applyFont="1" applyFill="1" applyBorder="1" applyAlignment="1">
      <alignment horizontal="right"/>
    </xf>
    <xf numFmtId="9" fontId="7" fillId="7" borderId="13" xfId="1" applyFont="1" applyFill="1" applyBorder="1" applyAlignment="1">
      <alignment horizontal="right"/>
    </xf>
    <xf numFmtId="9" fontId="6" fillId="5" borderId="13" xfId="1" applyFont="1" applyFill="1" applyBorder="1" applyAlignment="1">
      <alignment horizontal="right"/>
    </xf>
    <xf numFmtId="9" fontId="7" fillId="0" borderId="24" xfId="1" applyFont="1" applyBorder="1" applyAlignment="1">
      <alignment horizontal="right"/>
    </xf>
    <xf numFmtId="9" fontId="8" fillId="3" borderId="31" xfId="1" applyFont="1" applyFill="1" applyBorder="1" applyAlignment="1">
      <alignment horizontal="right" vertical="center"/>
    </xf>
    <xf numFmtId="9" fontId="7" fillId="0" borderId="13" xfId="1" applyFont="1" applyBorder="1" applyAlignment="1">
      <alignment horizontal="right"/>
    </xf>
    <xf numFmtId="9" fontId="6" fillId="5" borderId="31" xfId="1" applyFont="1" applyFill="1" applyBorder="1" applyAlignment="1">
      <alignment horizontal="right"/>
    </xf>
    <xf numFmtId="9" fontId="7" fillId="0" borderId="21" xfId="1" applyFont="1" applyBorder="1" applyAlignment="1">
      <alignment horizontal="right"/>
    </xf>
    <xf numFmtId="164" fontId="0" fillId="0" borderId="0" xfId="0" applyNumberFormat="1" applyAlignment="1">
      <alignment horizontal="right"/>
    </xf>
    <xf numFmtId="3" fontId="5" fillId="4" borderId="26" xfId="0" applyNumberFormat="1" applyFont="1" applyFill="1" applyBorder="1"/>
    <xf numFmtId="3" fontId="5" fillId="4" borderId="12" xfId="0" applyNumberFormat="1" applyFont="1" applyFill="1" applyBorder="1"/>
    <xf numFmtId="3" fontId="5" fillId="4" borderId="11" xfId="0" applyNumberFormat="1" applyFont="1" applyFill="1" applyBorder="1"/>
    <xf numFmtId="3" fontId="14" fillId="0" borderId="0" xfId="0" applyNumberFormat="1" applyFont="1" applyFill="1" applyBorder="1" applyAlignment="1">
      <alignment horizontal="right"/>
    </xf>
    <xf numFmtId="3" fontId="14" fillId="0" borderId="23" xfId="0" applyNumberFormat="1" applyFont="1" applyFill="1" applyBorder="1" applyAlignment="1">
      <alignment horizontal="right"/>
    </xf>
    <xf numFmtId="3" fontId="7" fillId="3" borderId="41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left" vertical="center"/>
    </xf>
    <xf numFmtId="3" fontId="7" fillId="0" borderId="34" xfId="0" applyNumberFormat="1" applyFont="1" applyFill="1" applyBorder="1" applyAlignment="1">
      <alignment vertical="center"/>
    </xf>
    <xf numFmtId="3" fontId="8" fillId="0" borderId="36" xfId="0" applyNumberFormat="1" applyFont="1" applyFill="1" applyBorder="1"/>
    <xf numFmtId="3" fontId="7" fillId="0" borderId="33" xfId="0" applyNumberFormat="1" applyFont="1" applyFill="1" applyBorder="1"/>
    <xf numFmtId="3" fontId="7" fillId="0" borderId="34" xfId="0" applyNumberFormat="1" applyFont="1" applyFill="1" applyBorder="1"/>
    <xf numFmtId="3" fontId="8" fillId="0" borderId="33" xfId="0" applyNumberFormat="1" applyFont="1" applyFill="1" applyBorder="1"/>
    <xf numFmtId="3" fontId="6" fillId="0" borderId="27" xfId="0" applyNumberFormat="1" applyFont="1" applyFill="1" applyBorder="1" applyAlignment="1">
      <alignment horizontal="left"/>
    </xf>
    <xf numFmtId="3" fontId="6" fillId="0" borderId="12" xfId="0" applyNumberFormat="1" applyFont="1" applyFill="1" applyBorder="1"/>
    <xf numFmtId="3" fontId="6" fillId="5" borderId="32" xfId="0" applyNumberFormat="1" applyFont="1" applyFill="1" applyBorder="1" applyAlignment="1">
      <alignment horizontal="left"/>
    </xf>
    <xf numFmtId="9" fontId="8" fillId="3" borderId="36" xfId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/>
    </xf>
    <xf numFmtId="3" fontId="14" fillId="0" borderId="34" xfId="0" applyNumberFormat="1" applyFont="1" applyFill="1" applyBorder="1" applyAlignment="1">
      <alignment horizontal="right"/>
    </xf>
    <xf numFmtId="0" fontId="7" fillId="2" borderId="43" xfId="0" applyFont="1" applyFill="1" applyBorder="1"/>
    <xf numFmtId="0" fontId="7" fillId="2" borderId="47" xfId="0" applyFont="1" applyFill="1" applyBorder="1"/>
    <xf numFmtId="0" fontId="7" fillId="2" borderId="40" xfId="0" applyFont="1" applyFill="1" applyBorder="1"/>
    <xf numFmtId="0" fontId="7" fillId="2" borderId="19" xfId="0" applyFont="1" applyFill="1" applyBorder="1"/>
    <xf numFmtId="3" fontId="7" fillId="0" borderId="40" xfId="0" applyNumberFormat="1" applyFont="1" applyFill="1" applyBorder="1"/>
    <xf numFmtId="3" fontId="7" fillId="0" borderId="19" xfId="0" applyNumberFormat="1" applyFont="1" applyFill="1" applyBorder="1"/>
    <xf numFmtId="3" fontId="8" fillId="3" borderId="19" xfId="0" applyNumberFormat="1" applyFont="1" applyFill="1" applyBorder="1" applyAlignment="1">
      <alignment vertical="center"/>
    </xf>
    <xf numFmtId="3" fontId="7" fillId="3" borderId="40" xfId="0" applyNumberFormat="1" applyFont="1" applyFill="1" applyBorder="1" applyAlignment="1">
      <alignment vertical="center"/>
    </xf>
    <xf numFmtId="3" fontId="7" fillId="2" borderId="40" xfId="0" applyNumberFormat="1" applyFont="1" applyFill="1" applyBorder="1"/>
    <xf numFmtId="3" fontId="7" fillId="2" borderId="19" xfId="0" applyNumberFormat="1" applyFont="1" applyFill="1" applyBorder="1"/>
    <xf numFmtId="3" fontId="8" fillId="2" borderId="48" xfId="0" applyNumberFormat="1" applyFont="1" applyFill="1" applyBorder="1"/>
    <xf numFmtId="3" fontId="8" fillId="2" borderId="49" xfId="0" applyNumberFormat="1" applyFont="1" applyFill="1" applyBorder="1"/>
    <xf numFmtId="3" fontId="6" fillId="4" borderId="51" xfId="0" applyNumberFormat="1" applyFont="1" applyFill="1" applyBorder="1" applyAlignment="1">
      <alignment horizontal="right" vertical="center"/>
    </xf>
    <xf numFmtId="3" fontId="7" fillId="2" borderId="43" xfId="0" applyNumberFormat="1" applyFont="1" applyFill="1" applyBorder="1"/>
    <xf numFmtId="3" fontId="7" fillId="2" borderId="47" xfId="0" applyNumberFormat="1" applyFont="1" applyFill="1" applyBorder="1"/>
    <xf numFmtId="3" fontId="8" fillId="0" borderId="19" xfId="0" applyNumberFormat="1" applyFont="1" applyFill="1" applyBorder="1"/>
    <xf numFmtId="3" fontId="5" fillId="4" borderId="40" xfId="0" applyNumberFormat="1" applyFont="1" applyFill="1" applyBorder="1"/>
    <xf numFmtId="3" fontId="6" fillId="4" borderId="19" xfId="0" applyNumberFormat="1" applyFont="1" applyFill="1" applyBorder="1"/>
    <xf numFmtId="3" fontId="14" fillId="0" borderId="48" xfId="0" applyNumberFormat="1" applyFont="1" applyFill="1" applyBorder="1" applyAlignment="1">
      <alignment horizontal="right"/>
    </xf>
    <xf numFmtId="3" fontId="11" fillId="0" borderId="49" xfId="0" applyNumberFormat="1" applyFont="1" applyFill="1" applyBorder="1" applyAlignment="1">
      <alignment horizontal="right"/>
    </xf>
    <xf numFmtId="3" fontId="7" fillId="3" borderId="50" xfId="0" applyNumberFormat="1" applyFont="1" applyFill="1" applyBorder="1" applyAlignment="1">
      <alignment vertical="center"/>
    </xf>
    <xf numFmtId="3" fontId="8" fillId="3" borderId="51" xfId="0" applyNumberFormat="1" applyFont="1" applyFill="1" applyBorder="1" applyAlignment="1">
      <alignment vertical="center"/>
    </xf>
    <xf numFmtId="3" fontId="11" fillId="0" borderId="43" xfId="0" applyNumberFormat="1" applyFont="1" applyBorder="1"/>
    <xf numFmtId="3" fontId="11" fillId="0" borderId="47" xfId="0" applyNumberFormat="1" applyFont="1" applyBorder="1"/>
    <xf numFmtId="3" fontId="7" fillId="0" borderId="48" xfId="0" applyNumberFormat="1" applyFont="1" applyFill="1" applyBorder="1"/>
    <xf numFmtId="3" fontId="8" fillId="0" borderId="49" xfId="0" applyNumberFormat="1" applyFont="1" applyFill="1" applyBorder="1"/>
    <xf numFmtId="3" fontId="5" fillId="5" borderId="50" xfId="0" applyNumberFormat="1" applyFont="1" applyFill="1" applyBorder="1"/>
    <xf numFmtId="3" fontId="6" fillId="5" borderId="51" xfId="0" applyNumberFormat="1" applyFont="1" applyFill="1" applyBorder="1"/>
    <xf numFmtId="3" fontId="6" fillId="0" borderId="43" xfId="0" applyNumberFormat="1" applyFont="1" applyFill="1" applyBorder="1"/>
    <xf numFmtId="3" fontId="6" fillId="0" borderId="47" xfId="0" applyNumberFormat="1" applyFont="1" applyFill="1" applyBorder="1"/>
    <xf numFmtId="3" fontId="7" fillId="6" borderId="40" xfId="0" applyNumberFormat="1" applyFont="1" applyFill="1" applyBorder="1" applyAlignment="1">
      <alignment vertical="center"/>
    </xf>
    <xf numFmtId="3" fontId="8" fillId="6" borderId="19" xfId="0" applyNumberFormat="1" applyFont="1" applyFill="1" applyBorder="1" applyAlignment="1">
      <alignment vertical="center"/>
    </xf>
    <xf numFmtId="3" fontId="8" fillId="6" borderId="40" xfId="0" applyNumberFormat="1" applyFont="1" applyFill="1" applyBorder="1" applyAlignment="1">
      <alignment vertical="center"/>
    </xf>
    <xf numFmtId="3" fontId="8" fillId="6" borderId="48" xfId="0" applyNumberFormat="1" applyFont="1" applyFill="1" applyBorder="1" applyAlignment="1">
      <alignment vertical="center"/>
    </xf>
    <xf numFmtId="3" fontId="8" fillId="6" borderId="49" xfId="0" applyNumberFormat="1" applyFont="1" applyFill="1" applyBorder="1" applyAlignment="1">
      <alignment vertical="center"/>
    </xf>
    <xf numFmtId="3" fontId="6" fillId="4" borderId="50" xfId="0" applyNumberFormat="1" applyFont="1" applyFill="1" applyBorder="1" applyAlignment="1">
      <alignment vertical="center"/>
    </xf>
    <xf numFmtId="3" fontId="6" fillId="4" borderId="51" xfId="0" applyNumberFormat="1" applyFont="1" applyFill="1" applyBorder="1" applyAlignment="1">
      <alignment vertical="center"/>
    </xf>
    <xf numFmtId="3" fontId="7" fillId="0" borderId="47" xfId="0" applyNumberFormat="1" applyFont="1" applyFill="1" applyBorder="1"/>
    <xf numFmtId="3" fontId="7" fillId="0" borderId="7" xfId="0" applyNumberFormat="1" applyFont="1" applyFill="1" applyBorder="1"/>
    <xf numFmtId="3" fontId="7" fillId="0" borderId="9" xfId="0" applyNumberFormat="1" applyFont="1" applyFill="1" applyBorder="1"/>
    <xf numFmtId="3" fontId="5" fillId="4" borderId="41" xfId="0" applyNumberFormat="1" applyFont="1" applyFill="1" applyBorder="1" applyAlignment="1">
      <alignment horizontal="right" vertical="center"/>
    </xf>
    <xf numFmtId="3" fontId="5" fillId="4" borderId="50" xfId="0" applyNumberFormat="1" applyFont="1" applyFill="1" applyBorder="1" applyAlignment="1">
      <alignment horizontal="right" vertical="center"/>
    </xf>
    <xf numFmtId="9" fontId="0" fillId="0" borderId="0" xfId="1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0" fillId="0" borderId="0" xfId="0" applyNumberFormat="1"/>
    <xf numFmtId="9" fontId="0" fillId="0" borderId="0" xfId="0" applyNumberFormat="1" applyAlignment="1">
      <alignment horizontal="right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abSelected="1" topLeftCell="A37" zoomScale="80" zoomScaleNormal="80" workbookViewId="0">
      <selection activeCell="M73" sqref="M73"/>
    </sheetView>
  </sheetViews>
  <sheetFormatPr defaultRowHeight="15" x14ac:dyDescent="0.25"/>
  <cols>
    <col min="1" max="1" width="70.85546875" customWidth="1"/>
    <col min="2" max="3" width="13" bestFit="1" customWidth="1"/>
    <col min="4" max="4" width="14.85546875" bestFit="1" customWidth="1"/>
    <col min="5" max="10" width="14.85546875" customWidth="1"/>
    <col min="11" max="11" width="13.140625" bestFit="1" customWidth="1"/>
  </cols>
  <sheetData>
    <row r="1" spans="1:16" ht="18" x14ac:dyDescent="0.25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6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6" ht="16.5" thickBot="1" x14ac:dyDescent="0.3">
      <c r="A3" s="6"/>
      <c r="B3" s="210">
        <v>2016</v>
      </c>
      <c r="C3" s="211"/>
      <c r="D3" s="212"/>
      <c r="E3" s="213">
        <v>2017</v>
      </c>
      <c r="F3" s="211"/>
      <c r="G3" s="214"/>
      <c r="H3" s="210">
        <v>2018</v>
      </c>
      <c r="I3" s="211"/>
      <c r="J3" s="212"/>
      <c r="K3" s="130" t="s">
        <v>52</v>
      </c>
    </row>
    <row r="4" spans="1:16" ht="15.75" thickBot="1" x14ac:dyDescent="0.3">
      <c r="A4" s="7"/>
      <c r="B4" s="116" t="s">
        <v>0</v>
      </c>
      <c r="C4" s="9" t="s">
        <v>1</v>
      </c>
      <c r="D4" s="117" t="s">
        <v>48</v>
      </c>
      <c r="E4" s="95" t="s">
        <v>0</v>
      </c>
      <c r="F4" s="9" t="s">
        <v>1</v>
      </c>
      <c r="G4" s="95" t="s">
        <v>50</v>
      </c>
      <c r="H4" s="8" t="s">
        <v>0</v>
      </c>
      <c r="I4" s="9" t="s">
        <v>1</v>
      </c>
      <c r="J4" s="10" t="s">
        <v>51</v>
      </c>
      <c r="K4" s="131" t="s">
        <v>2</v>
      </c>
    </row>
    <row r="5" spans="1:16" x14ac:dyDescent="0.25">
      <c r="A5" s="11" t="s">
        <v>3</v>
      </c>
      <c r="B5" s="87"/>
      <c r="C5" s="14"/>
      <c r="D5" s="15"/>
      <c r="E5" s="13"/>
      <c r="F5" s="12"/>
      <c r="G5" s="13"/>
      <c r="H5" s="167"/>
      <c r="I5" s="14"/>
      <c r="J5" s="168"/>
      <c r="K5" s="132"/>
    </row>
    <row r="6" spans="1:16" x14ac:dyDescent="0.25">
      <c r="A6" s="16" t="s">
        <v>4</v>
      </c>
      <c r="B6" s="19"/>
      <c r="C6" s="18"/>
      <c r="D6" s="20"/>
      <c r="E6" s="17"/>
      <c r="F6" s="18"/>
      <c r="G6" s="17"/>
      <c r="H6" s="169"/>
      <c r="I6" s="18"/>
      <c r="J6" s="170"/>
      <c r="K6" s="134"/>
      <c r="L6" s="135"/>
      <c r="M6" s="135"/>
      <c r="N6" s="135"/>
      <c r="O6" s="135"/>
      <c r="P6" s="135"/>
    </row>
    <row r="7" spans="1:16" x14ac:dyDescent="0.25">
      <c r="A7" s="21" t="s">
        <v>5</v>
      </c>
      <c r="B7" s="22">
        <v>0</v>
      </c>
      <c r="C7" s="23">
        <v>3314273</v>
      </c>
      <c r="D7" s="24">
        <f>+C7+B7</f>
        <v>3314273</v>
      </c>
      <c r="E7" s="25">
        <v>0</v>
      </c>
      <c r="F7" s="23">
        <v>2948008</v>
      </c>
      <c r="G7" s="25">
        <f>+F7+E7</f>
        <v>2948008</v>
      </c>
      <c r="H7" s="171">
        <v>0</v>
      </c>
      <c r="I7" s="23">
        <v>2807608</v>
      </c>
      <c r="J7" s="172">
        <f>+I7+H7</f>
        <v>2807608</v>
      </c>
      <c r="K7" s="136">
        <f>+(J7-G7)/G7</f>
        <v>-4.7625379578345783E-2</v>
      </c>
      <c r="L7" s="135"/>
      <c r="M7" s="135"/>
      <c r="N7" s="135"/>
      <c r="O7" s="135"/>
      <c r="P7" s="135"/>
    </row>
    <row r="8" spans="1:16" x14ac:dyDescent="0.25">
      <c r="A8" s="21" t="s">
        <v>6</v>
      </c>
      <c r="B8" s="22">
        <v>1417550</v>
      </c>
      <c r="C8" s="23">
        <f>288221+5197</f>
        <v>293418</v>
      </c>
      <c r="D8" s="24">
        <f>+C8+B8</f>
        <v>1710968</v>
      </c>
      <c r="E8" s="25">
        <v>1351173</v>
      </c>
      <c r="F8" s="23">
        <v>344132</v>
      </c>
      <c r="G8" s="25">
        <f>+F8+E8</f>
        <v>1695305</v>
      </c>
      <c r="H8" s="171">
        <v>1338459</v>
      </c>
      <c r="I8" s="23">
        <v>461387</v>
      </c>
      <c r="J8" s="172">
        <f>+I8+H8</f>
        <v>1799846</v>
      </c>
      <c r="K8" s="136">
        <f t="shared" ref="K8:K58" si="0">+(J8-G8)/G8</f>
        <v>6.1665010130920392E-2</v>
      </c>
      <c r="L8" s="135"/>
      <c r="M8" s="135"/>
      <c r="N8" s="135"/>
      <c r="O8" s="135"/>
      <c r="P8" s="135"/>
    </row>
    <row r="9" spans="1:16" x14ac:dyDescent="0.25">
      <c r="A9" s="26" t="s">
        <v>7</v>
      </c>
      <c r="B9" s="27">
        <f t="shared" ref="B9:G9" si="1">+B8+B7</f>
        <v>1417550</v>
      </c>
      <c r="C9" s="28">
        <f t="shared" si="1"/>
        <v>3607691</v>
      </c>
      <c r="D9" s="29">
        <f t="shared" si="1"/>
        <v>5025241</v>
      </c>
      <c r="E9" s="121">
        <f t="shared" si="1"/>
        <v>1351173</v>
      </c>
      <c r="F9" s="28">
        <f t="shared" si="1"/>
        <v>3292140</v>
      </c>
      <c r="G9" s="32">
        <f t="shared" si="1"/>
        <v>4643313</v>
      </c>
      <c r="H9" s="27">
        <f>+H8+H7</f>
        <v>1338459</v>
      </c>
      <c r="I9" s="28">
        <f>+I8+I7</f>
        <v>3268995</v>
      </c>
      <c r="J9" s="173">
        <f t="shared" ref="J9" si="2">+J8+J7</f>
        <v>4607454</v>
      </c>
      <c r="K9" s="137">
        <f t="shared" si="0"/>
        <v>-7.7227186709144958E-3</v>
      </c>
      <c r="L9" s="135"/>
      <c r="M9" s="135"/>
      <c r="N9" s="135"/>
      <c r="O9" s="135"/>
      <c r="P9" s="135"/>
    </row>
    <row r="10" spans="1:16" x14ac:dyDescent="0.25">
      <c r="A10" s="30" t="s">
        <v>8</v>
      </c>
      <c r="B10" s="19"/>
      <c r="C10" s="18"/>
      <c r="D10" s="20"/>
      <c r="E10" s="17"/>
      <c r="F10" s="18"/>
      <c r="G10" s="17"/>
      <c r="H10" s="169"/>
      <c r="I10" s="18"/>
      <c r="J10" s="170"/>
      <c r="K10" s="136"/>
      <c r="L10" s="135"/>
      <c r="M10" s="135"/>
      <c r="N10" s="135"/>
      <c r="O10" s="135"/>
      <c r="P10" s="135"/>
    </row>
    <row r="11" spans="1:16" x14ac:dyDescent="0.25">
      <c r="A11" s="21" t="s">
        <v>9</v>
      </c>
      <c r="B11" s="22">
        <v>0</v>
      </c>
      <c r="C11" s="23">
        <v>41866</v>
      </c>
      <c r="D11" s="24">
        <f>+C11+B11</f>
        <v>41866</v>
      </c>
      <c r="E11" s="25">
        <v>0</v>
      </c>
      <c r="F11" s="23">
        <v>66026</v>
      </c>
      <c r="G11" s="25">
        <f>+F11+E11</f>
        <v>66026</v>
      </c>
      <c r="H11" s="171">
        <v>5000</v>
      </c>
      <c r="I11" s="23">
        <v>43314</v>
      </c>
      <c r="J11" s="172">
        <f>+I11+H11</f>
        <v>48314</v>
      </c>
      <c r="K11" s="136">
        <f t="shared" si="0"/>
        <v>-0.26825795898585408</v>
      </c>
      <c r="L11" s="135"/>
      <c r="M11" s="138"/>
      <c r="N11" s="135"/>
      <c r="O11" s="135"/>
      <c r="P11" s="135"/>
    </row>
    <row r="12" spans="1:16" x14ac:dyDescent="0.25">
      <c r="A12" s="31" t="s">
        <v>10</v>
      </c>
      <c r="B12" s="22">
        <v>133302</v>
      </c>
      <c r="C12" s="23">
        <v>99845</v>
      </c>
      <c r="D12" s="24">
        <f t="shared" ref="D12:D16" si="3">+C12+B12</f>
        <v>233147</v>
      </c>
      <c r="E12" s="25">
        <v>150769</v>
      </c>
      <c r="F12" s="23">
        <v>40492</v>
      </c>
      <c r="G12" s="25">
        <f t="shared" ref="G12:G16" si="4">+F12+E12</f>
        <v>191261</v>
      </c>
      <c r="H12" s="171">
        <v>5106</v>
      </c>
      <c r="I12" s="23">
        <v>13208</v>
      </c>
      <c r="J12" s="172">
        <f t="shared" ref="J12:J16" si="5">+I12+H12</f>
        <v>18314</v>
      </c>
      <c r="K12" s="136">
        <f t="shared" si="0"/>
        <v>-0.90424603029368245</v>
      </c>
      <c r="L12" s="135"/>
      <c r="M12" s="135"/>
      <c r="N12" s="135"/>
      <c r="O12" s="135"/>
      <c r="P12" s="135"/>
    </row>
    <row r="13" spans="1:16" ht="14.25" customHeight="1" x14ac:dyDescent="0.25">
      <c r="A13" s="31" t="s">
        <v>11</v>
      </c>
      <c r="B13" s="22">
        <v>2</v>
      </c>
      <c r="C13" s="23">
        <v>1</v>
      </c>
      <c r="D13" s="24">
        <f t="shared" si="3"/>
        <v>3</v>
      </c>
      <c r="E13" s="25">
        <v>0</v>
      </c>
      <c r="F13" s="23">
        <v>0</v>
      </c>
      <c r="G13" s="25">
        <f t="shared" si="4"/>
        <v>0</v>
      </c>
      <c r="H13" s="171">
        <v>0</v>
      </c>
      <c r="I13" s="23">
        <v>0</v>
      </c>
      <c r="J13" s="172">
        <f t="shared" si="5"/>
        <v>0</v>
      </c>
      <c r="K13" s="136" t="e">
        <f t="shared" si="0"/>
        <v>#DIV/0!</v>
      </c>
      <c r="L13" s="135"/>
      <c r="M13" s="135"/>
      <c r="N13" s="135"/>
      <c r="O13" s="135"/>
      <c r="P13" s="135"/>
    </row>
    <row r="14" spans="1:16" x14ac:dyDescent="0.25">
      <c r="A14" s="31" t="s">
        <v>12</v>
      </c>
      <c r="B14" s="22">
        <v>7023</v>
      </c>
      <c r="C14" s="23">
        <v>30985</v>
      </c>
      <c r="D14" s="24">
        <f t="shared" si="3"/>
        <v>38008</v>
      </c>
      <c r="E14" s="25">
        <v>3812</v>
      </c>
      <c r="F14" s="23">
        <v>169436</v>
      </c>
      <c r="G14" s="25">
        <f t="shared" si="4"/>
        <v>173248</v>
      </c>
      <c r="H14" s="171">
        <v>12119</v>
      </c>
      <c r="I14" s="23">
        <v>71681</v>
      </c>
      <c r="J14" s="172">
        <f t="shared" si="5"/>
        <v>83800</v>
      </c>
      <c r="K14" s="136">
        <f t="shared" si="0"/>
        <v>-0.51630033247137053</v>
      </c>
      <c r="L14" s="138"/>
      <c r="M14" s="138"/>
      <c r="N14" s="135"/>
      <c r="O14" s="135"/>
      <c r="P14" s="135"/>
    </row>
    <row r="15" spans="1:16" ht="14.25" customHeight="1" x14ac:dyDescent="0.25">
      <c r="A15" s="31" t="s">
        <v>13</v>
      </c>
      <c r="B15" s="22">
        <f>3+5+20+1+31</f>
        <v>60</v>
      </c>
      <c r="C15" s="23">
        <f>2080+4+2333+58402+48075</f>
        <v>110894</v>
      </c>
      <c r="D15" s="24">
        <f t="shared" si="3"/>
        <v>110954</v>
      </c>
      <c r="E15" s="25">
        <f>2+1+1+22</f>
        <v>26</v>
      </c>
      <c r="F15" s="23">
        <f>69641+34483+259+4+1962</f>
        <v>106349</v>
      </c>
      <c r="G15" s="25">
        <f t="shared" si="4"/>
        <v>106375</v>
      </c>
      <c r="H15" s="171">
        <f>4493+36</f>
        <v>4529</v>
      </c>
      <c r="I15" s="23">
        <f>7239+30717+64076</f>
        <v>102032</v>
      </c>
      <c r="J15" s="172">
        <f t="shared" si="5"/>
        <v>106561</v>
      </c>
      <c r="K15" s="136">
        <f t="shared" si="0"/>
        <v>1.7485311398354876E-3</v>
      </c>
      <c r="L15" s="135"/>
      <c r="M15" s="135"/>
      <c r="N15" s="135"/>
      <c r="O15" s="135"/>
      <c r="P15" s="135"/>
    </row>
    <row r="16" spans="1:16" x14ac:dyDescent="0.25">
      <c r="A16" s="31" t="s">
        <v>14</v>
      </c>
      <c r="B16" s="22">
        <f>147328-B15-B14-B13-B12-B11</f>
        <v>6941</v>
      </c>
      <c r="C16" s="23">
        <f>317838-C15-C14-C13-C12-C11</f>
        <v>34247</v>
      </c>
      <c r="D16" s="24">
        <f t="shared" si="3"/>
        <v>41188</v>
      </c>
      <c r="E16" s="25">
        <f>168882-E15-E14-E13-E12-E11</f>
        <v>14275</v>
      </c>
      <c r="F16" s="23">
        <f>412928-F15-F14-F13-F12-F11</f>
        <v>30625</v>
      </c>
      <c r="G16" s="25">
        <f t="shared" si="4"/>
        <v>44900</v>
      </c>
      <c r="H16" s="171">
        <f>1+21291+298+4250+1249+161+84+1</f>
        <v>27335</v>
      </c>
      <c r="I16" s="23">
        <f>8909+2500+1+9560+230+95</f>
        <v>21295</v>
      </c>
      <c r="J16" s="172">
        <f t="shared" si="5"/>
        <v>48630</v>
      </c>
      <c r="K16" s="136">
        <f t="shared" si="0"/>
        <v>8.3073496659242768E-2</v>
      </c>
      <c r="L16" s="135"/>
      <c r="M16" s="135"/>
      <c r="N16" s="135"/>
      <c r="O16" s="135"/>
      <c r="P16" s="135"/>
    </row>
    <row r="17" spans="1:16" x14ac:dyDescent="0.25">
      <c r="A17" s="26" t="s">
        <v>15</v>
      </c>
      <c r="B17" s="27">
        <f>+B16+B15+B14+B13+B12+B11</f>
        <v>147328</v>
      </c>
      <c r="C17" s="28">
        <f>+C16+C15+C14+C13+C12+C11</f>
        <v>317838</v>
      </c>
      <c r="D17" s="29">
        <f>+C17+B17</f>
        <v>465166</v>
      </c>
      <c r="E17" s="121">
        <f>SUM(E11:E16)</f>
        <v>168882</v>
      </c>
      <c r="F17" s="28">
        <f>SUM(F11:F16)</f>
        <v>412928</v>
      </c>
      <c r="G17" s="32">
        <f>+F17+E17</f>
        <v>581810</v>
      </c>
      <c r="H17" s="174">
        <f>SUM(H11:H16)</f>
        <v>54089</v>
      </c>
      <c r="I17" s="28">
        <f>SUM(I11:I16)</f>
        <v>251530</v>
      </c>
      <c r="J17" s="173">
        <f>+I17+H17</f>
        <v>305619</v>
      </c>
      <c r="K17" s="137">
        <f t="shared" si="0"/>
        <v>-0.47470995685876832</v>
      </c>
      <c r="L17" s="135"/>
      <c r="M17" s="138"/>
      <c r="N17" s="138"/>
      <c r="O17" s="138"/>
      <c r="P17" s="135"/>
    </row>
    <row r="18" spans="1:16" x14ac:dyDescent="0.25">
      <c r="A18" s="33"/>
      <c r="B18" s="88"/>
      <c r="C18" s="34"/>
      <c r="D18" s="35"/>
      <c r="E18" s="36"/>
      <c r="F18" s="34"/>
      <c r="G18" s="36"/>
      <c r="H18" s="175"/>
      <c r="I18" s="34"/>
      <c r="J18" s="176"/>
      <c r="K18" s="136"/>
      <c r="L18" s="135"/>
      <c r="M18" s="135"/>
      <c r="N18" s="135"/>
      <c r="O18" s="138"/>
      <c r="P18" s="135"/>
    </row>
    <row r="19" spans="1:16" x14ac:dyDescent="0.25">
      <c r="A19" s="26" t="s">
        <v>16</v>
      </c>
      <c r="B19" s="27">
        <v>1129753</v>
      </c>
      <c r="C19" s="28">
        <v>1107185</v>
      </c>
      <c r="D19" s="29">
        <f>+C19+B19</f>
        <v>2236938</v>
      </c>
      <c r="E19" s="121">
        <v>1192002</v>
      </c>
      <c r="F19" s="28">
        <v>1152570</v>
      </c>
      <c r="G19" s="32">
        <f>+F19+E19</f>
        <v>2344572</v>
      </c>
      <c r="H19" s="174">
        <v>1214004</v>
      </c>
      <c r="I19" s="28">
        <v>1177572</v>
      </c>
      <c r="J19" s="173">
        <f>+I19+H19</f>
        <v>2391576</v>
      </c>
      <c r="K19" s="137">
        <f t="shared" si="0"/>
        <v>2.0048008762366863E-2</v>
      </c>
      <c r="L19" s="135"/>
      <c r="M19" s="135"/>
      <c r="N19" s="135"/>
      <c r="O19" s="135"/>
      <c r="P19" s="135"/>
    </row>
    <row r="20" spans="1:16" x14ac:dyDescent="0.25">
      <c r="A20" s="37"/>
      <c r="B20" s="19"/>
      <c r="C20" s="18"/>
      <c r="D20" s="20"/>
      <c r="E20" s="17"/>
      <c r="F20" s="18"/>
      <c r="G20" s="17"/>
      <c r="H20" s="169"/>
      <c r="I20" s="18"/>
      <c r="J20" s="170"/>
      <c r="K20" s="136"/>
      <c r="L20" s="135"/>
      <c r="M20" s="135"/>
      <c r="N20" s="135"/>
      <c r="O20" s="135"/>
      <c r="P20" s="135"/>
    </row>
    <row r="21" spans="1:16" x14ac:dyDescent="0.25">
      <c r="A21" s="26" t="s">
        <v>17</v>
      </c>
      <c r="B21" s="27">
        <v>786964</v>
      </c>
      <c r="C21" s="28">
        <v>453383</v>
      </c>
      <c r="D21" s="29">
        <f>+C21+B21</f>
        <v>1240347</v>
      </c>
      <c r="E21" s="121">
        <v>641031</v>
      </c>
      <c r="F21" s="28">
        <v>465392</v>
      </c>
      <c r="G21" s="32">
        <f>+F21+E21</f>
        <v>1106423</v>
      </c>
      <c r="H21" s="174">
        <v>628140</v>
      </c>
      <c r="I21" s="28">
        <v>507409</v>
      </c>
      <c r="J21" s="173">
        <f>+I21+H21</f>
        <v>1135549</v>
      </c>
      <c r="K21" s="137">
        <f t="shared" si="0"/>
        <v>2.6324470839814429E-2</v>
      </c>
      <c r="L21" s="135"/>
      <c r="M21" s="135"/>
      <c r="N21" s="135"/>
      <c r="O21" s="135"/>
      <c r="P21" s="135"/>
    </row>
    <row r="22" spans="1:16" ht="15.75" thickBot="1" x14ac:dyDescent="0.3">
      <c r="A22" s="107"/>
      <c r="B22" s="109"/>
      <c r="C22" s="110"/>
      <c r="D22" s="108"/>
      <c r="E22" s="111"/>
      <c r="F22" s="110"/>
      <c r="G22" s="111"/>
      <c r="H22" s="177"/>
      <c r="I22" s="110"/>
      <c r="J22" s="178"/>
      <c r="K22" s="139"/>
      <c r="L22" s="135"/>
      <c r="M22" s="135"/>
      <c r="N22" s="135"/>
      <c r="O22" s="135"/>
      <c r="P22" s="135"/>
    </row>
    <row r="23" spans="1:16" ht="16.5" thickBot="1" x14ac:dyDescent="0.3">
      <c r="A23" s="72" t="s">
        <v>18</v>
      </c>
      <c r="B23" s="112">
        <f>+B21+B19+B17+B9</f>
        <v>3481595</v>
      </c>
      <c r="C23" s="113">
        <f>+C21+C19+C17+C9</f>
        <v>5486097</v>
      </c>
      <c r="D23" s="114">
        <f>+C23+B23</f>
        <v>8967692</v>
      </c>
      <c r="E23" s="207">
        <f>+E21+E19+E17+E9</f>
        <v>3353088</v>
      </c>
      <c r="F23" s="113">
        <f>+F21+F19+F17+F9</f>
        <v>5323030</v>
      </c>
      <c r="G23" s="115">
        <f>+F23+E23</f>
        <v>8676118</v>
      </c>
      <c r="H23" s="208">
        <f>+H21+H19+H17+H9</f>
        <v>3234692</v>
      </c>
      <c r="I23" s="113">
        <f>+I21+I19+I17+I9</f>
        <v>5205506</v>
      </c>
      <c r="J23" s="179">
        <f>+I23+H23</f>
        <v>8440198</v>
      </c>
      <c r="K23" s="140">
        <f t="shared" si="0"/>
        <v>-2.7191884665469051E-2</v>
      </c>
      <c r="L23" s="135"/>
      <c r="M23" s="135"/>
      <c r="N23" s="135"/>
      <c r="O23" s="135"/>
      <c r="P23" s="135"/>
    </row>
    <row r="24" spans="1:16" x14ac:dyDescent="0.25">
      <c r="A24" s="38" t="s">
        <v>19</v>
      </c>
      <c r="B24" s="89"/>
      <c r="C24" s="39"/>
      <c r="D24" s="40"/>
      <c r="E24" s="41"/>
      <c r="F24" s="39"/>
      <c r="G24" s="41"/>
      <c r="H24" s="180"/>
      <c r="I24" s="39"/>
      <c r="J24" s="181"/>
      <c r="K24" s="141"/>
      <c r="L24" s="135"/>
      <c r="M24" s="135"/>
      <c r="N24" s="135"/>
      <c r="O24" s="135"/>
      <c r="P24" s="135"/>
    </row>
    <row r="25" spans="1:16" x14ac:dyDescent="0.25">
      <c r="A25" s="21" t="s">
        <v>20</v>
      </c>
      <c r="B25" s="22">
        <f>4314+1667</f>
        <v>5981</v>
      </c>
      <c r="C25" s="23">
        <f>2663+20135</f>
        <v>22798</v>
      </c>
      <c r="D25" s="24">
        <f>+C25+B25</f>
        <v>28779</v>
      </c>
      <c r="E25" s="25">
        <f>5140+1303</f>
        <v>6443</v>
      </c>
      <c r="F25" s="23">
        <f>2194+14266</f>
        <v>16460</v>
      </c>
      <c r="G25" s="25">
        <f>+F25+E25</f>
        <v>22903</v>
      </c>
      <c r="H25" s="171">
        <f>6160+2314</f>
        <v>8474</v>
      </c>
      <c r="I25" s="23">
        <f>1178+10357</f>
        <v>11535</v>
      </c>
      <c r="J25" s="172">
        <f>+I25+H25</f>
        <v>20009</v>
      </c>
      <c r="K25" s="136">
        <f t="shared" si="0"/>
        <v>-0.12635899227175479</v>
      </c>
      <c r="L25" s="135"/>
      <c r="M25" s="135"/>
      <c r="N25" s="135"/>
      <c r="O25" s="135"/>
      <c r="P25" s="135"/>
    </row>
    <row r="26" spans="1:16" x14ac:dyDescent="0.25">
      <c r="A26" s="21" t="s">
        <v>21</v>
      </c>
      <c r="B26" s="22">
        <f>13139+35860</f>
        <v>48999</v>
      </c>
      <c r="C26" s="23">
        <f>15720+17343</f>
        <v>33063</v>
      </c>
      <c r="D26" s="24">
        <f t="shared" ref="D26:D27" si="6">+C26+B26</f>
        <v>82062</v>
      </c>
      <c r="E26" s="25">
        <f>12009+32530</f>
        <v>44539</v>
      </c>
      <c r="F26" s="23">
        <f>15915+18458</f>
        <v>34373</v>
      </c>
      <c r="G26" s="25">
        <f t="shared" ref="G26:G27" si="7">+F26+E26</f>
        <v>78912</v>
      </c>
      <c r="H26" s="171">
        <f>11333+28762</f>
        <v>40095</v>
      </c>
      <c r="I26" s="23">
        <f>16502+20511</f>
        <v>37013</v>
      </c>
      <c r="J26" s="172">
        <f t="shared" ref="J26:J27" si="8">+I26+H26</f>
        <v>77108</v>
      </c>
      <c r="K26" s="136">
        <f t="shared" si="0"/>
        <v>-2.2860908353609082E-2</v>
      </c>
      <c r="L26" s="135"/>
      <c r="M26" s="135"/>
      <c r="N26" s="135"/>
      <c r="O26" s="135"/>
      <c r="P26" s="135"/>
    </row>
    <row r="27" spans="1:16" x14ac:dyDescent="0.25">
      <c r="A27" s="42" t="s">
        <v>22</v>
      </c>
      <c r="B27" s="22">
        <f>+B26+B25</f>
        <v>54980</v>
      </c>
      <c r="C27" s="23">
        <f>+C26+C25</f>
        <v>55861</v>
      </c>
      <c r="D27" s="51">
        <f t="shared" si="6"/>
        <v>110841</v>
      </c>
      <c r="E27" s="25">
        <f>+E26+E25</f>
        <v>50982</v>
      </c>
      <c r="F27" s="23">
        <f>+F26+F25</f>
        <v>50833</v>
      </c>
      <c r="G27" s="83">
        <f t="shared" si="7"/>
        <v>101815</v>
      </c>
      <c r="H27" s="171">
        <f>+H26+H25</f>
        <v>48569</v>
      </c>
      <c r="I27" s="23">
        <f>+I26+I25</f>
        <v>48548</v>
      </c>
      <c r="J27" s="182">
        <f t="shared" si="8"/>
        <v>97117</v>
      </c>
      <c r="K27" s="136">
        <f t="shared" si="0"/>
        <v>-4.6142513382114621E-2</v>
      </c>
      <c r="L27" s="135"/>
      <c r="M27" s="135"/>
      <c r="N27" s="135"/>
      <c r="O27" s="135"/>
      <c r="P27" s="135"/>
    </row>
    <row r="28" spans="1:16" x14ac:dyDescent="0.25">
      <c r="A28" s="43"/>
      <c r="B28" s="22"/>
      <c r="C28" s="23"/>
      <c r="D28" s="24"/>
      <c r="E28" s="25"/>
      <c r="F28" s="23"/>
      <c r="G28" s="25"/>
      <c r="H28" s="171"/>
      <c r="I28" s="23"/>
      <c r="J28" s="172"/>
      <c r="K28" s="136"/>
      <c r="L28" s="135"/>
      <c r="M28" s="135"/>
      <c r="N28" s="135"/>
      <c r="O28" s="135"/>
      <c r="P28" s="135"/>
    </row>
    <row r="29" spans="1:16" ht="15.75" x14ac:dyDescent="0.25">
      <c r="A29" s="44" t="s">
        <v>23</v>
      </c>
      <c r="B29" s="149">
        <v>92507</v>
      </c>
      <c r="C29" s="150">
        <v>93339</v>
      </c>
      <c r="D29" s="118">
        <f>+C29+B29</f>
        <v>185846</v>
      </c>
      <c r="E29" s="151">
        <v>84815</v>
      </c>
      <c r="F29" s="150">
        <v>83557</v>
      </c>
      <c r="G29" s="98">
        <f>+F29+E29</f>
        <v>168372</v>
      </c>
      <c r="H29" s="183">
        <v>79645</v>
      </c>
      <c r="I29" s="86">
        <v>79416</v>
      </c>
      <c r="J29" s="184">
        <f>+I29+H29</f>
        <v>159061</v>
      </c>
      <c r="K29" s="142">
        <f t="shared" si="0"/>
        <v>-5.5300168674126342E-2</v>
      </c>
      <c r="L29" s="135"/>
      <c r="M29" s="135"/>
      <c r="N29" s="135"/>
      <c r="O29" s="135"/>
      <c r="P29" s="135"/>
    </row>
    <row r="30" spans="1:16" ht="15.75" thickBot="1" x14ac:dyDescent="0.3">
      <c r="A30" s="45"/>
      <c r="B30" s="99"/>
      <c r="C30" s="97"/>
      <c r="D30" s="100"/>
      <c r="E30" s="152"/>
      <c r="F30" s="153"/>
      <c r="G30" s="94"/>
      <c r="H30" s="185"/>
      <c r="I30" s="166"/>
      <c r="J30" s="186"/>
      <c r="K30" s="143"/>
      <c r="L30" s="135"/>
      <c r="M30" s="135"/>
      <c r="N30" s="135"/>
      <c r="O30" s="135"/>
      <c r="P30" s="135"/>
    </row>
    <row r="31" spans="1:16" ht="15.75" thickBot="1" x14ac:dyDescent="0.3">
      <c r="A31" s="102" t="s">
        <v>24</v>
      </c>
      <c r="B31" s="103">
        <v>111254</v>
      </c>
      <c r="C31" s="104">
        <v>98105</v>
      </c>
      <c r="D31" s="105">
        <f>+C31+B31</f>
        <v>209359</v>
      </c>
      <c r="E31" s="154">
        <v>119531</v>
      </c>
      <c r="F31" s="104">
        <v>110932</v>
      </c>
      <c r="G31" s="106">
        <f>+F31+E31</f>
        <v>230463</v>
      </c>
      <c r="H31" s="187">
        <v>130048</v>
      </c>
      <c r="I31" s="104">
        <v>119623</v>
      </c>
      <c r="J31" s="188">
        <f>+I31+H31</f>
        <v>249671</v>
      </c>
      <c r="K31" s="144">
        <f t="shared" si="0"/>
        <v>8.3345265834428958E-2</v>
      </c>
      <c r="L31" s="135"/>
      <c r="M31" s="135"/>
      <c r="N31" s="135"/>
      <c r="O31" s="135"/>
      <c r="P31" s="135"/>
    </row>
    <row r="32" spans="1:16" x14ac:dyDescent="0.25">
      <c r="A32" s="101"/>
      <c r="B32" s="90"/>
      <c r="C32" s="48"/>
      <c r="D32" s="46"/>
      <c r="E32" s="47"/>
      <c r="F32" s="48"/>
      <c r="G32" s="47"/>
      <c r="H32" s="189"/>
      <c r="I32" s="48"/>
      <c r="J32" s="190"/>
      <c r="K32" s="145"/>
      <c r="L32" s="135"/>
      <c r="M32" s="135"/>
      <c r="N32" s="135"/>
      <c r="O32" s="135"/>
      <c r="P32" s="135"/>
    </row>
    <row r="33" spans="1:16" x14ac:dyDescent="0.25">
      <c r="A33" s="49" t="s">
        <v>25</v>
      </c>
      <c r="B33" s="22">
        <v>48669</v>
      </c>
      <c r="C33" s="23">
        <v>52349</v>
      </c>
      <c r="D33" s="24">
        <f>+C33+B33</f>
        <v>101018</v>
      </c>
      <c r="E33" s="25">
        <v>53455</v>
      </c>
      <c r="F33" s="23">
        <v>57375</v>
      </c>
      <c r="G33" s="25">
        <f>+F33+E33</f>
        <v>110830</v>
      </c>
      <c r="H33" s="171">
        <v>51132</v>
      </c>
      <c r="I33" s="23">
        <v>54797</v>
      </c>
      <c r="J33" s="172">
        <f>+I33+H33</f>
        <v>105929</v>
      </c>
      <c r="K33" s="136">
        <f t="shared" si="0"/>
        <v>-4.4220878823423258E-2</v>
      </c>
      <c r="L33" s="209"/>
      <c r="M33" s="138"/>
      <c r="N33" s="138"/>
      <c r="O33" s="209"/>
      <c r="P33" s="135"/>
    </row>
    <row r="34" spans="1:16" x14ac:dyDescent="0.25">
      <c r="A34" s="49" t="s">
        <v>26</v>
      </c>
      <c r="B34" s="22">
        <v>4656</v>
      </c>
      <c r="C34" s="23">
        <v>5290</v>
      </c>
      <c r="D34" s="24">
        <f t="shared" ref="D34:D45" si="9">+C34+B34</f>
        <v>9946</v>
      </c>
      <c r="E34" s="25">
        <v>3788</v>
      </c>
      <c r="F34" s="23">
        <v>3899</v>
      </c>
      <c r="G34" s="25">
        <f t="shared" ref="G34:G45" si="10">+F34+E34</f>
        <v>7687</v>
      </c>
      <c r="H34" s="171">
        <v>3381</v>
      </c>
      <c r="I34" s="23">
        <v>3353</v>
      </c>
      <c r="J34" s="172">
        <f t="shared" ref="J34:J45" si="11">+I34+H34</f>
        <v>6734</v>
      </c>
      <c r="K34" s="136">
        <f t="shared" si="0"/>
        <v>-0.12397554312475609</v>
      </c>
      <c r="L34" s="135"/>
      <c r="M34" s="135"/>
      <c r="N34" s="135"/>
      <c r="O34" s="209"/>
      <c r="P34" s="135"/>
    </row>
    <row r="35" spans="1:16" x14ac:dyDescent="0.25">
      <c r="A35" s="49" t="s">
        <v>27</v>
      </c>
      <c r="B35" s="22">
        <v>7928</v>
      </c>
      <c r="C35" s="23">
        <v>6205</v>
      </c>
      <c r="D35" s="24">
        <f t="shared" si="9"/>
        <v>14133</v>
      </c>
      <c r="E35" s="25">
        <v>7798</v>
      </c>
      <c r="F35" s="23">
        <v>6831</v>
      </c>
      <c r="G35" s="25">
        <f t="shared" si="10"/>
        <v>14629</v>
      </c>
      <c r="H35" s="171">
        <v>11448</v>
      </c>
      <c r="I35" s="23">
        <v>8931</v>
      </c>
      <c r="J35" s="172">
        <f t="shared" si="11"/>
        <v>20379</v>
      </c>
      <c r="K35" s="136">
        <f t="shared" si="0"/>
        <v>0.39305489096999113</v>
      </c>
      <c r="L35" s="209"/>
      <c r="M35" s="138"/>
      <c r="N35" s="138"/>
      <c r="O35" s="209"/>
      <c r="P35" s="135"/>
    </row>
    <row r="36" spans="1:16" x14ac:dyDescent="0.25">
      <c r="A36" s="49" t="s">
        <v>28</v>
      </c>
      <c r="B36" s="22">
        <v>66</v>
      </c>
      <c r="C36" s="23">
        <v>150</v>
      </c>
      <c r="D36" s="24">
        <f t="shared" si="9"/>
        <v>216</v>
      </c>
      <c r="E36" s="25">
        <v>71</v>
      </c>
      <c r="F36" s="23">
        <v>49</v>
      </c>
      <c r="G36" s="25">
        <f t="shared" si="10"/>
        <v>120</v>
      </c>
      <c r="H36" s="171">
        <v>0</v>
      </c>
      <c r="I36" s="23">
        <v>0</v>
      </c>
      <c r="J36" s="172">
        <f t="shared" si="11"/>
        <v>0</v>
      </c>
      <c r="K36" s="136">
        <f t="shared" si="0"/>
        <v>-1</v>
      </c>
      <c r="L36" s="135"/>
      <c r="M36" s="135"/>
      <c r="N36" s="135"/>
      <c r="O36" s="135"/>
      <c r="P36" s="135"/>
    </row>
    <row r="37" spans="1:16" x14ac:dyDescent="0.25">
      <c r="A37" s="49" t="s">
        <v>46</v>
      </c>
      <c r="B37" s="22">
        <v>57</v>
      </c>
      <c r="C37" s="23">
        <v>1888</v>
      </c>
      <c r="D37" s="24">
        <f t="shared" si="9"/>
        <v>1945</v>
      </c>
      <c r="E37" s="25">
        <v>0</v>
      </c>
      <c r="F37" s="23">
        <v>801</v>
      </c>
      <c r="G37" s="25">
        <f t="shared" si="10"/>
        <v>801</v>
      </c>
      <c r="H37" s="171">
        <v>0</v>
      </c>
      <c r="I37" s="23">
        <v>88</v>
      </c>
      <c r="J37" s="172">
        <f t="shared" si="11"/>
        <v>88</v>
      </c>
      <c r="K37" s="136">
        <f t="shared" si="0"/>
        <v>-0.89013732833957548</v>
      </c>
      <c r="L37" s="135"/>
      <c r="M37" s="135"/>
      <c r="N37" s="135"/>
      <c r="O37" s="135"/>
      <c r="P37" s="135"/>
    </row>
    <row r="38" spans="1:16" x14ac:dyDescent="0.25">
      <c r="A38" s="50" t="s">
        <v>29</v>
      </c>
      <c r="B38" s="22">
        <f t="shared" ref="B38:C38" si="12">SUM(B33:B37)</f>
        <v>61376</v>
      </c>
      <c r="C38" s="23">
        <f t="shared" si="12"/>
        <v>65882</v>
      </c>
      <c r="D38" s="51">
        <f t="shared" si="9"/>
        <v>127258</v>
      </c>
      <c r="E38" s="25">
        <f>SUM(E33:E37)</f>
        <v>65112</v>
      </c>
      <c r="F38" s="23">
        <f>SUM(F33:F37)</f>
        <v>68955</v>
      </c>
      <c r="G38" s="83">
        <f t="shared" si="10"/>
        <v>134067</v>
      </c>
      <c r="H38" s="171">
        <f>SUM(H33:H37)</f>
        <v>65961</v>
      </c>
      <c r="I38" s="23">
        <f>SUM(I33:I37)</f>
        <v>67169</v>
      </c>
      <c r="J38" s="182">
        <f t="shared" si="11"/>
        <v>133130</v>
      </c>
      <c r="K38" s="136">
        <f t="shared" si="0"/>
        <v>-6.9890427920368172E-3</v>
      </c>
      <c r="L38" s="135"/>
      <c r="M38" s="135"/>
      <c r="N38" s="135"/>
      <c r="O38" s="135"/>
      <c r="P38" s="135"/>
    </row>
    <row r="39" spans="1:16" x14ac:dyDescent="0.25">
      <c r="A39" s="52"/>
      <c r="B39" s="91"/>
      <c r="C39" s="54"/>
      <c r="D39" s="24"/>
      <c r="E39" s="25"/>
      <c r="F39" s="23"/>
      <c r="G39" s="25"/>
      <c r="H39" s="171"/>
      <c r="I39" s="23"/>
      <c r="J39" s="172"/>
      <c r="K39" s="136"/>
      <c r="L39" s="135"/>
      <c r="M39" s="135"/>
      <c r="N39" s="135"/>
      <c r="O39" s="135"/>
      <c r="P39" s="135"/>
    </row>
    <row r="40" spans="1:16" x14ac:dyDescent="0.25">
      <c r="A40" s="55" t="s">
        <v>30</v>
      </c>
      <c r="B40" s="92">
        <v>7157</v>
      </c>
      <c r="C40" s="53">
        <v>6056</v>
      </c>
      <c r="D40" s="24">
        <f t="shared" si="9"/>
        <v>13213</v>
      </c>
      <c r="E40" s="25">
        <v>6909</v>
      </c>
      <c r="F40" s="23">
        <v>5719</v>
      </c>
      <c r="G40" s="25">
        <f t="shared" si="10"/>
        <v>12628</v>
      </c>
      <c r="H40" s="171">
        <v>6669</v>
      </c>
      <c r="I40" s="23">
        <v>5989</v>
      </c>
      <c r="J40" s="172">
        <f t="shared" si="11"/>
        <v>12658</v>
      </c>
      <c r="K40" s="136">
        <f t="shared" si="0"/>
        <v>2.3756731073804245E-3</v>
      </c>
      <c r="L40" s="135"/>
      <c r="M40" s="135"/>
      <c r="N40" s="135"/>
      <c r="O40" s="135"/>
      <c r="P40" s="135"/>
    </row>
    <row r="41" spans="1:16" x14ac:dyDescent="0.25">
      <c r="A41" s="55" t="s">
        <v>47</v>
      </c>
      <c r="B41" s="92">
        <v>2</v>
      </c>
      <c r="C41" s="53">
        <v>2</v>
      </c>
      <c r="D41" s="24">
        <f t="shared" si="9"/>
        <v>4</v>
      </c>
      <c r="E41" s="25">
        <v>0</v>
      </c>
      <c r="F41" s="23">
        <v>0</v>
      </c>
      <c r="G41" s="25">
        <f t="shared" si="10"/>
        <v>0</v>
      </c>
      <c r="H41" s="171">
        <v>0</v>
      </c>
      <c r="I41" s="23">
        <v>0</v>
      </c>
      <c r="J41" s="172">
        <f t="shared" si="11"/>
        <v>0</v>
      </c>
      <c r="K41" s="136" t="e">
        <f t="shared" si="0"/>
        <v>#DIV/0!</v>
      </c>
      <c r="L41" s="135"/>
      <c r="M41" s="135"/>
      <c r="N41" s="135"/>
      <c r="O41" s="135"/>
      <c r="P41" s="135"/>
    </row>
    <row r="42" spans="1:16" x14ac:dyDescent="0.25">
      <c r="A42" s="55" t="s">
        <v>31</v>
      </c>
      <c r="B42" s="92">
        <v>622</v>
      </c>
      <c r="C42" s="53">
        <v>583</v>
      </c>
      <c r="D42" s="24">
        <f t="shared" si="9"/>
        <v>1205</v>
      </c>
      <c r="E42" s="25">
        <v>885</v>
      </c>
      <c r="F42" s="23">
        <v>1054</v>
      </c>
      <c r="G42" s="25">
        <f t="shared" si="10"/>
        <v>1939</v>
      </c>
      <c r="H42" s="171">
        <v>874</v>
      </c>
      <c r="I42" s="23">
        <v>988</v>
      </c>
      <c r="J42" s="172">
        <f t="shared" si="11"/>
        <v>1862</v>
      </c>
      <c r="K42" s="136">
        <f t="shared" si="0"/>
        <v>-3.9711191335740074E-2</v>
      </c>
      <c r="L42" s="135"/>
      <c r="M42" s="135"/>
      <c r="N42" s="135"/>
      <c r="O42" s="135"/>
      <c r="P42" s="135"/>
    </row>
    <row r="43" spans="1:16" x14ac:dyDescent="0.25">
      <c r="A43" s="55" t="s">
        <v>32</v>
      </c>
      <c r="B43" s="92">
        <v>19</v>
      </c>
      <c r="C43" s="53">
        <v>13</v>
      </c>
      <c r="D43" s="24">
        <f t="shared" si="9"/>
        <v>32</v>
      </c>
      <c r="E43" s="25">
        <v>12</v>
      </c>
      <c r="F43" s="23">
        <v>3</v>
      </c>
      <c r="G43" s="25">
        <f t="shared" si="10"/>
        <v>15</v>
      </c>
      <c r="H43" s="171">
        <v>0</v>
      </c>
      <c r="I43" s="23">
        <v>0</v>
      </c>
      <c r="J43" s="172">
        <f t="shared" si="11"/>
        <v>0</v>
      </c>
      <c r="K43" s="136">
        <f t="shared" si="0"/>
        <v>-1</v>
      </c>
      <c r="L43" s="135"/>
      <c r="M43" s="135"/>
      <c r="N43" s="135"/>
      <c r="O43" s="135"/>
      <c r="P43" s="135"/>
    </row>
    <row r="44" spans="1:16" x14ac:dyDescent="0.25">
      <c r="A44" s="55" t="s">
        <v>49</v>
      </c>
      <c r="B44" s="119">
        <v>0</v>
      </c>
      <c r="C44" s="56">
        <f>28+21</f>
        <v>49</v>
      </c>
      <c r="D44" s="24">
        <f t="shared" si="9"/>
        <v>49</v>
      </c>
      <c r="E44" s="25">
        <v>0</v>
      </c>
      <c r="F44" s="23">
        <v>11</v>
      </c>
      <c r="G44" s="25">
        <f t="shared" si="10"/>
        <v>11</v>
      </c>
      <c r="H44" s="171">
        <v>0</v>
      </c>
      <c r="I44" s="23">
        <v>0</v>
      </c>
      <c r="J44" s="172">
        <f t="shared" si="11"/>
        <v>0</v>
      </c>
      <c r="K44" s="136">
        <f t="shared" si="0"/>
        <v>-1</v>
      </c>
      <c r="L44" s="135"/>
      <c r="M44" s="135"/>
      <c r="N44" s="135"/>
      <c r="O44" s="135"/>
      <c r="P44" s="135"/>
    </row>
    <row r="45" spans="1:16" ht="15.75" thickBot="1" x14ac:dyDescent="0.3">
      <c r="A45" s="155" t="s">
        <v>33</v>
      </c>
      <c r="B45" s="120">
        <f>SUM(B40:B44)</f>
        <v>7800</v>
      </c>
      <c r="C45" s="156">
        <f>SUM(C40:C44)</f>
        <v>6703</v>
      </c>
      <c r="D45" s="157">
        <f t="shared" si="9"/>
        <v>14503</v>
      </c>
      <c r="E45" s="158">
        <f>SUM(E40:E44)</f>
        <v>7806</v>
      </c>
      <c r="F45" s="159">
        <f>SUM(F40:F44)</f>
        <v>6787</v>
      </c>
      <c r="G45" s="160">
        <f t="shared" si="10"/>
        <v>14593</v>
      </c>
      <c r="H45" s="191">
        <f>SUM(H40:H44)</f>
        <v>7543</v>
      </c>
      <c r="I45" s="159">
        <f>SUM(I40:I44)</f>
        <v>6977</v>
      </c>
      <c r="J45" s="192">
        <f t="shared" si="11"/>
        <v>14520</v>
      </c>
      <c r="K45" s="139">
        <f t="shared" si="0"/>
        <v>-5.0023984101966699E-3</v>
      </c>
      <c r="L45" s="135"/>
      <c r="M45" s="135"/>
      <c r="N45" s="135"/>
      <c r="O45" s="135"/>
      <c r="P45" s="135"/>
    </row>
    <row r="46" spans="1:16" ht="16.5" thickBot="1" x14ac:dyDescent="0.3">
      <c r="A46" s="163" t="s">
        <v>34</v>
      </c>
      <c r="B46" s="57">
        <f>+B45+B38</f>
        <v>69176</v>
      </c>
      <c r="C46" s="58">
        <f t="shared" ref="C46" si="13">+C45+C38</f>
        <v>72585</v>
      </c>
      <c r="D46" s="59">
        <f t="shared" ref="D46:J46" si="14">+D45+D38</f>
        <v>141761</v>
      </c>
      <c r="E46" s="126">
        <f t="shared" si="14"/>
        <v>72918</v>
      </c>
      <c r="F46" s="58">
        <f t="shared" si="14"/>
        <v>75742</v>
      </c>
      <c r="G46" s="127">
        <f t="shared" si="14"/>
        <v>148660</v>
      </c>
      <c r="H46" s="193">
        <f t="shared" si="14"/>
        <v>73504</v>
      </c>
      <c r="I46" s="58">
        <f t="shared" si="14"/>
        <v>74146</v>
      </c>
      <c r="J46" s="194">
        <f t="shared" si="14"/>
        <v>147650</v>
      </c>
      <c r="K46" s="140">
        <f t="shared" si="0"/>
        <v>-6.7940266379658285E-3</v>
      </c>
      <c r="L46" s="135"/>
      <c r="M46" s="138"/>
      <c r="N46" s="135"/>
      <c r="O46" s="135"/>
      <c r="P46" s="135"/>
    </row>
    <row r="47" spans="1:16" ht="15.75" x14ac:dyDescent="0.25">
      <c r="A47" s="161"/>
      <c r="B47" s="93"/>
      <c r="C47" s="62"/>
      <c r="D47" s="60"/>
      <c r="E47" s="61"/>
      <c r="F47" s="62"/>
      <c r="G47" s="61"/>
      <c r="H47" s="195"/>
      <c r="I47" s="162"/>
      <c r="J47" s="196"/>
      <c r="K47" s="145"/>
      <c r="L47" s="135"/>
      <c r="M47" s="135"/>
      <c r="N47" s="135"/>
      <c r="O47" s="135"/>
      <c r="P47" s="135"/>
    </row>
    <row r="48" spans="1:16" x14ac:dyDescent="0.25">
      <c r="A48" s="49" t="s">
        <v>35</v>
      </c>
      <c r="B48" s="22">
        <v>335236</v>
      </c>
      <c r="C48" s="23">
        <v>311977</v>
      </c>
      <c r="D48" s="24">
        <f>+C48+B48</f>
        <v>647213</v>
      </c>
      <c r="E48" s="25">
        <v>387742</v>
      </c>
      <c r="F48" s="23">
        <v>373882</v>
      </c>
      <c r="G48" s="25">
        <f>+F48+E48</f>
        <v>761624</v>
      </c>
      <c r="H48" s="171">
        <v>399823</v>
      </c>
      <c r="I48" s="23">
        <v>372051</v>
      </c>
      <c r="J48" s="172">
        <f>+I48+H48</f>
        <v>771874</v>
      </c>
      <c r="K48" s="136">
        <f t="shared" si="0"/>
        <v>1.3458084304066049E-2</v>
      </c>
      <c r="L48" s="135"/>
      <c r="M48" s="209"/>
      <c r="N48" s="209"/>
      <c r="O48" s="135"/>
      <c r="P48" s="135"/>
    </row>
    <row r="49" spans="1:16" x14ac:dyDescent="0.25">
      <c r="A49" s="63" t="s">
        <v>36</v>
      </c>
      <c r="B49" s="22">
        <v>112490</v>
      </c>
      <c r="C49" s="23">
        <v>116075</v>
      </c>
      <c r="D49" s="24">
        <f t="shared" ref="D49:D51" si="15">+C49+B49</f>
        <v>228565</v>
      </c>
      <c r="E49" s="25">
        <v>101682</v>
      </c>
      <c r="F49" s="23">
        <v>104369</v>
      </c>
      <c r="G49" s="25">
        <f t="shared" ref="G49:G51" si="16">+F49+E49</f>
        <v>206051</v>
      </c>
      <c r="H49" s="171">
        <v>106927</v>
      </c>
      <c r="I49" s="23">
        <v>114519</v>
      </c>
      <c r="J49" s="172">
        <f t="shared" ref="J49:J51" si="17">+I49+H49</f>
        <v>221446</v>
      </c>
      <c r="K49" s="136">
        <f t="shared" si="0"/>
        <v>7.4714512426535179E-2</v>
      </c>
      <c r="L49" s="135"/>
      <c r="M49" s="135"/>
      <c r="N49" s="135"/>
      <c r="O49" s="135"/>
      <c r="P49" s="135"/>
    </row>
    <row r="50" spans="1:16" x14ac:dyDescent="0.25">
      <c r="A50" s="63" t="s">
        <v>37</v>
      </c>
      <c r="B50" s="22">
        <v>36568</v>
      </c>
      <c r="C50" s="23">
        <v>36897</v>
      </c>
      <c r="D50" s="24">
        <f t="shared" si="15"/>
        <v>73465</v>
      </c>
      <c r="E50" s="25">
        <v>34112</v>
      </c>
      <c r="F50" s="23">
        <v>36085</v>
      </c>
      <c r="G50" s="25">
        <f t="shared" si="16"/>
        <v>70197</v>
      </c>
      <c r="H50" s="171">
        <v>44855</v>
      </c>
      <c r="I50" s="23">
        <v>45977</v>
      </c>
      <c r="J50" s="172">
        <f t="shared" si="17"/>
        <v>90832</v>
      </c>
      <c r="K50" s="136">
        <f t="shared" si="0"/>
        <v>0.29395843127199167</v>
      </c>
      <c r="L50" s="135"/>
      <c r="M50" s="135"/>
      <c r="N50" s="135"/>
      <c r="O50" s="135"/>
      <c r="P50" s="135"/>
    </row>
    <row r="51" spans="1:16" x14ac:dyDescent="0.25">
      <c r="A51" s="63" t="s">
        <v>38</v>
      </c>
      <c r="B51" s="22">
        <v>1005</v>
      </c>
      <c r="C51" s="23">
        <v>737</v>
      </c>
      <c r="D51" s="24">
        <f t="shared" si="15"/>
        <v>1742</v>
      </c>
      <c r="E51" s="25">
        <v>375</v>
      </c>
      <c r="F51" s="23">
        <v>306</v>
      </c>
      <c r="G51" s="25">
        <f t="shared" si="16"/>
        <v>681</v>
      </c>
      <c r="H51" s="171">
        <v>0</v>
      </c>
      <c r="I51" s="23">
        <v>83</v>
      </c>
      <c r="J51" s="172">
        <f t="shared" si="17"/>
        <v>83</v>
      </c>
      <c r="K51" s="136">
        <f t="shared" si="0"/>
        <v>-0.87812041116005879</v>
      </c>
      <c r="L51" s="135"/>
      <c r="M51" s="135"/>
      <c r="N51" s="135"/>
      <c r="O51" s="135"/>
      <c r="P51" s="135"/>
    </row>
    <row r="52" spans="1:16" x14ac:dyDescent="0.25">
      <c r="A52" s="64" t="s">
        <v>39</v>
      </c>
      <c r="B52" s="69">
        <f t="shared" ref="B52:J52" si="18">SUM(B48:B51)</f>
        <v>485299</v>
      </c>
      <c r="C52" s="65">
        <f t="shared" si="18"/>
        <v>465686</v>
      </c>
      <c r="D52" s="70">
        <f t="shared" si="18"/>
        <v>950985</v>
      </c>
      <c r="E52" s="122">
        <f t="shared" si="18"/>
        <v>523911</v>
      </c>
      <c r="F52" s="65">
        <f t="shared" si="18"/>
        <v>514642</v>
      </c>
      <c r="G52" s="67">
        <f t="shared" si="18"/>
        <v>1038553</v>
      </c>
      <c r="H52" s="197">
        <f t="shared" si="18"/>
        <v>551605</v>
      </c>
      <c r="I52" s="65">
        <f t="shared" si="18"/>
        <v>532630</v>
      </c>
      <c r="J52" s="198">
        <f t="shared" si="18"/>
        <v>1084235</v>
      </c>
      <c r="K52" s="137">
        <f t="shared" si="0"/>
        <v>4.3986200030234374E-2</v>
      </c>
      <c r="L52" s="135"/>
      <c r="M52" s="135"/>
      <c r="N52" s="135"/>
      <c r="O52" s="135"/>
      <c r="P52" s="135"/>
    </row>
    <row r="53" spans="1:16" x14ac:dyDescent="0.25">
      <c r="A53" s="64" t="s">
        <v>40</v>
      </c>
      <c r="B53" s="69">
        <v>5112</v>
      </c>
      <c r="C53" s="66">
        <v>5784</v>
      </c>
      <c r="D53" s="70">
        <f>+C53+B53</f>
        <v>10896</v>
      </c>
      <c r="E53" s="122">
        <v>5566</v>
      </c>
      <c r="F53" s="66">
        <v>5552</v>
      </c>
      <c r="G53" s="67">
        <f>+F53+E53</f>
        <v>11118</v>
      </c>
      <c r="H53" s="199">
        <v>6225</v>
      </c>
      <c r="I53" s="133">
        <v>6629</v>
      </c>
      <c r="J53" s="198">
        <f>+I53+H53</f>
        <v>12854</v>
      </c>
      <c r="K53" s="137">
        <f t="shared" si="0"/>
        <v>0.15614319122144271</v>
      </c>
      <c r="L53" s="135"/>
      <c r="M53" s="138"/>
      <c r="N53" s="138"/>
      <c r="O53" s="135"/>
      <c r="P53" s="135"/>
    </row>
    <row r="54" spans="1:16" ht="15.75" thickBot="1" x14ac:dyDescent="0.3">
      <c r="A54" s="68" t="s">
        <v>41</v>
      </c>
      <c r="B54" s="84"/>
      <c r="C54" s="71"/>
      <c r="D54" s="70">
        <v>44005</v>
      </c>
      <c r="E54" s="67"/>
      <c r="F54" s="71"/>
      <c r="G54" s="67">
        <v>40968</v>
      </c>
      <c r="H54" s="200"/>
      <c r="I54" s="71"/>
      <c r="J54" s="201">
        <v>54177</v>
      </c>
      <c r="K54" s="164">
        <f t="shared" si="0"/>
        <v>0.32242237844171062</v>
      </c>
      <c r="L54" s="135"/>
      <c r="M54" s="138"/>
      <c r="N54" s="209"/>
      <c r="O54" s="135"/>
      <c r="P54" s="135"/>
    </row>
    <row r="55" spans="1:16" ht="16.5" thickBot="1" x14ac:dyDescent="0.3">
      <c r="A55" s="72" t="s">
        <v>42</v>
      </c>
      <c r="B55" s="85"/>
      <c r="C55" s="74"/>
      <c r="D55" s="73">
        <f>+D54+D53+D52</f>
        <v>1005886</v>
      </c>
      <c r="E55" s="96"/>
      <c r="F55" s="74"/>
      <c r="G55" s="96">
        <f>+G54+G53+G52</f>
        <v>1090639</v>
      </c>
      <c r="H55" s="202"/>
      <c r="I55" s="74"/>
      <c r="J55" s="203">
        <f>+J54+J53+J52</f>
        <v>1151266</v>
      </c>
      <c r="K55" s="146">
        <f t="shared" si="0"/>
        <v>5.5588512789291417E-2</v>
      </c>
      <c r="L55" s="135"/>
      <c r="M55" s="135"/>
      <c r="N55" s="135"/>
      <c r="O55" s="135"/>
      <c r="P55" s="135"/>
    </row>
    <row r="56" spans="1:16" x14ac:dyDescent="0.25">
      <c r="A56" s="165" t="s">
        <v>43</v>
      </c>
      <c r="B56" s="75">
        <v>2285</v>
      </c>
      <c r="C56" s="76">
        <v>2285</v>
      </c>
      <c r="D56" s="77">
        <f>+C56+B56</f>
        <v>4570</v>
      </c>
      <c r="E56" s="123">
        <v>2045</v>
      </c>
      <c r="F56" s="76">
        <v>2044</v>
      </c>
      <c r="G56" s="128">
        <f t="shared" ref="G56:G58" si="19">+F56+E56</f>
        <v>4089</v>
      </c>
      <c r="H56" s="123">
        <v>1986</v>
      </c>
      <c r="I56" s="76">
        <v>1991</v>
      </c>
      <c r="J56" s="204">
        <f t="shared" ref="J56:J58" si="20">+I56+H56</f>
        <v>3977</v>
      </c>
      <c r="K56" s="145">
        <f t="shared" si="0"/>
        <v>-2.7390560039129371E-2</v>
      </c>
      <c r="L56" s="135"/>
      <c r="M56" s="135"/>
      <c r="N56" s="135"/>
      <c r="O56" s="135"/>
      <c r="P56" s="135"/>
    </row>
    <row r="57" spans="1:16" x14ac:dyDescent="0.25">
      <c r="A57" s="49" t="s">
        <v>45</v>
      </c>
      <c r="B57" s="75">
        <v>54441282</v>
      </c>
      <c r="C57" s="76">
        <v>54491226</v>
      </c>
      <c r="D57" s="77">
        <f>+C57+B57</f>
        <v>108932508</v>
      </c>
      <c r="E57" s="123">
        <v>48548845</v>
      </c>
      <c r="F57" s="76">
        <v>48536417</v>
      </c>
      <c r="G57" s="128">
        <f t="shared" si="19"/>
        <v>97085262</v>
      </c>
      <c r="H57" s="171">
        <v>49106787</v>
      </c>
      <c r="I57" s="23">
        <v>49234423</v>
      </c>
      <c r="J57" s="172">
        <f t="shared" si="20"/>
        <v>98341210</v>
      </c>
      <c r="K57" s="136">
        <f t="shared" si="0"/>
        <v>1.2936546434823445E-2</v>
      </c>
      <c r="L57" s="135"/>
      <c r="M57" s="135"/>
      <c r="N57" s="135"/>
      <c r="O57" s="135"/>
      <c r="P57" s="135"/>
    </row>
    <row r="58" spans="1:16" ht="15.75" thickBot="1" x14ac:dyDescent="0.3">
      <c r="A58" s="82" t="s">
        <v>44</v>
      </c>
      <c r="B58" s="78">
        <v>27107265</v>
      </c>
      <c r="C58" s="79">
        <v>27138765</v>
      </c>
      <c r="D58" s="80">
        <f>+C58+B58</f>
        <v>54246030</v>
      </c>
      <c r="E58" s="124">
        <v>22303042</v>
      </c>
      <c r="F58" s="125">
        <v>22289254</v>
      </c>
      <c r="G58" s="129">
        <f t="shared" si="19"/>
        <v>44592296</v>
      </c>
      <c r="H58" s="205">
        <v>22146365</v>
      </c>
      <c r="I58" s="79">
        <v>22194631</v>
      </c>
      <c r="J58" s="206">
        <f t="shared" si="20"/>
        <v>44340996</v>
      </c>
      <c r="K58" s="147">
        <f t="shared" si="0"/>
        <v>-5.6355025989242623E-3</v>
      </c>
      <c r="L58" s="135"/>
      <c r="M58" s="135"/>
      <c r="N58" s="135"/>
      <c r="O58" s="135"/>
      <c r="P58" s="135"/>
    </row>
    <row r="59" spans="1:16" x14ac:dyDescent="0.25">
      <c r="K59" s="148"/>
      <c r="L59" s="135"/>
      <c r="M59" s="135"/>
      <c r="N59" s="135"/>
      <c r="O59" s="135"/>
      <c r="P59" s="135"/>
    </row>
    <row r="60" spans="1:16" x14ac:dyDescent="0.25">
      <c r="K60" s="148"/>
      <c r="L60" s="135"/>
      <c r="M60" s="135"/>
      <c r="N60" s="135"/>
      <c r="O60" s="135"/>
      <c r="P60" s="135"/>
    </row>
    <row r="61" spans="1:16" x14ac:dyDescent="0.25">
      <c r="K61" s="148"/>
      <c r="L61" s="135"/>
      <c r="M61" s="135"/>
      <c r="N61" s="135"/>
      <c r="O61" s="135"/>
      <c r="P61" s="135"/>
    </row>
    <row r="62" spans="1:16" x14ac:dyDescent="0.25">
      <c r="K62" s="216"/>
      <c r="L62" s="135"/>
      <c r="M62" s="135"/>
      <c r="N62" s="135"/>
      <c r="O62" s="135"/>
      <c r="P62" s="135"/>
    </row>
    <row r="63" spans="1:16" x14ac:dyDescent="0.25">
      <c r="I63" s="215"/>
      <c r="J63" s="215"/>
      <c r="K63" s="216"/>
      <c r="L63" s="135"/>
      <c r="M63" s="135"/>
      <c r="N63" s="135"/>
      <c r="O63" s="135"/>
      <c r="P63" s="135"/>
    </row>
    <row r="64" spans="1:16" x14ac:dyDescent="0.25">
      <c r="I64" s="215"/>
      <c r="J64" s="215"/>
      <c r="K64" s="216"/>
      <c r="L64" s="135"/>
      <c r="M64" s="135"/>
      <c r="N64" s="135"/>
      <c r="O64" s="135"/>
      <c r="P64" s="135"/>
    </row>
    <row r="65" spans="9:16" x14ac:dyDescent="0.25">
      <c r="K65" s="216"/>
      <c r="L65" s="135"/>
      <c r="M65" s="135"/>
      <c r="N65" s="135"/>
      <c r="O65" s="135"/>
      <c r="P65" s="135"/>
    </row>
    <row r="66" spans="9:16" x14ac:dyDescent="0.25">
      <c r="I66" s="215"/>
      <c r="J66" s="215"/>
      <c r="K66" s="216"/>
      <c r="L66" s="135"/>
      <c r="M66" s="135"/>
      <c r="N66" s="135"/>
      <c r="O66" s="135"/>
      <c r="P66" s="135"/>
    </row>
    <row r="67" spans="9:16" x14ac:dyDescent="0.25">
      <c r="K67" s="81"/>
    </row>
    <row r="68" spans="9:16" x14ac:dyDescent="0.25">
      <c r="K68" s="81"/>
    </row>
    <row r="69" spans="9:16" x14ac:dyDescent="0.25">
      <c r="K69" s="81"/>
    </row>
    <row r="70" spans="9:16" x14ac:dyDescent="0.25">
      <c r="K70" s="81"/>
    </row>
    <row r="71" spans="9:16" x14ac:dyDescent="0.25">
      <c r="K71" s="81"/>
    </row>
    <row r="72" spans="9:16" x14ac:dyDescent="0.25">
      <c r="K72" s="81"/>
    </row>
    <row r="73" spans="9:16" x14ac:dyDescent="0.25">
      <c r="K73" s="81"/>
    </row>
    <row r="74" spans="9:16" x14ac:dyDescent="0.25">
      <c r="K74" s="81"/>
    </row>
    <row r="75" spans="9:16" x14ac:dyDescent="0.25">
      <c r="K75" s="81"/>
    </row>
    <row r="76" spans="9:16" x14ac:dyDescent="0.25">
      <c r="K76" s="81"/>
    </row>
    <row r="77" spans="9:16" x14ac:dyDescent="0.25">
      <c r="K77" s="81"/>
    </row>
    <row r="78" spans="9:16" x14ac:dyDescent="0.25">
      <c r="K78" s="81"/>
    </row>
    <row r="79" spans="9:16" x14ac:dyDescent="0.25">
      <c r="K79" s="81"/>
    </row>
    <row r="80" spans="9:16" x14ac:dyDescent="0.25">
      <c r="K80" s="81"/>
    </row>
    <row r="81" spans="11:11" x14ac:dyDescent="0.25">
      <c r="K81" s="81"/>
    </row>
    <row r="82" spans="11:11" x14ac:dyDescent="0.25">
      <c r="K82" s="81"/>
    </row>
    <row r="83" spans="11:11" x14ac:dyDescent="0.25">
      <c r="K83" s="81"/>
    </row>
    <row r="84" spans="11:11" x14ac:dyDescent="0.25">
      <c r="K84" s="81"/>
    </row>
    <row r="85" spans="11:11" x14ac:dyDescent="0.25">
      <c r="K85" s="81"/>
    </row>
    <row r="86" spans="11:11" x14ac:dyDescent="0.25">
      <c r="K86" s="81"/>
    </row>
    <row r="87" spans="11:11" x14ac:dyDescent="0.25">
      <c r="K87" s="81"/>
    </row>
    <row r="88" spans="11:11" x14ac:dyDescent="0.25">
      <c r="K88" s="81"/>
    </row>
    <row r="89" spans="11:11" x14ac:dyDescent="0.25">
      <c r="K89" s="81"/>
    </row>
    <row r="90" spans="11:11" x14ac:dyDescent="0.25">
      <c r="K90" s="81"/>
    </row>
    <row r="91" spans="11:11" x14ac:dyDescent="0.25">
      <c r="K91" s="81"/>
    </row>
    <row r="92" spans="11:11" x14ac:dyDescent="0.25">
      <c r="K92" s="81"/>
    </row>
    <row r="93" spans="11:11" x14ac:dyDescent="0.25">
      <c r="K93" s="81"/>
    </row>
    <row r="94" spans="11:11" x14ac:dyDescent="0.25">
      <c r="K94" s="81"/>
    </row>
    <row r="95" spans="11:11" x14ac:dyDescent="0.25">
      <c r="K95" s="81"/>
    </row>
    <row r="96" spans="11:11" x14ac:dyDescent="0.25">
      <c r="K96" s="81"/>
    </row>
    <row r="97" spans="11:11" x14ac:dyDescent="0.25">
      <c r="K97" s="81"/>
    </row>
    <row r="98" spans="11:11" x14ac:dyDescent="0.25">
      <c r="K98" s="81"/>
    </row>
    <row r="99" spans="11:11" x14ac:dyDescent="0.25">
      <c r="K99" s="81"/>
    </row>
    <row r="100" spans="11:11" x14ac:dyDescent="0.25">
      <c r="K100" s="81"/>
    </row>
    <row r="101" spans="11:11" x14ac:dyDescent="0.25">
      <c r="K101" s="81"/>
    </row>
    <row r="102" spans="11:11" x14ac:dyDescent="0.25">
      <c r="K102" s="81"/>
    </row>
    <row r="103" spans="11:11" x14ac:dyDescent="0.25">
      <c r="K103" s="81"/>
    </row>
    <row r="104" spans="11:11" x14ac:dyDescent="0.25">
      <c r="K104" s="81"/>
    </row>
    <row r="105" spans="11:11" x14ac:dyDescent="0.25">
      <c r="K105" s="81"/>
    </row>
  </sheetData>
  <mergeCells count="3">
    <mergeCell ref="B3:D3"/>
    <mergeCell ref="E3:G3"/>
    <mergeCell ref="H3:J3"/>
  </mergeCells>
  <pageMargins left="0.70866141732283472" right="0.70866141732283472" top="0.35433070866141736" bottom="0.35433070866141736" header="0.31496062992125984" footer="0.31496062992125984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cellerino</dc:creator>
  <cp:lastModifiedBy>cellerino</cp:lastModifiedBy>
  <cp:lastPrinted>2019-01-18T09:56:25Z</cp:lastPrinted>
  <dcterms:created xsi:type="dcterms:W3CDTF">2015-03-02T13:45:33Z</dcterms:created>
  <dcterms:modified xsi:type="dcterms:W3CDTF">2019-02-26T10:19:39Z</dcterms:modified>
</cp:coreProperties>
</file>